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Denne_projektmappe"/>
  <mc:AlternateContent xmlns:mc="http://schemas.openxmlformats.org/markup-compatibility/2006">
    <mc:Choice Requires="x15">
      <x15ac:absPath xmlns:x15ac="http://schemas.microsoft.com/office/spreadsheetml/2010/11/ac" url="C:\TIMES models\TIMES-Nordic\SubRES_TMPL\"/>
    </mc:Choice>
  </mc:AlternateContent>
  <xr:revisionPtr revIDLastSave="0" documentId="13_ncr:1_{6FA2EE00-BB93-4D97-86AA-F0B258D4A339}" xr6:coauthVersionLast="46" xr6:coauthVersionMax="46" xr10:uidLastSave="{00000000-0000-0000-0000-000000000000}"/>
  <bookViews>
    <workbookView xWindow="14412" yWindow="732" windowWidth="23616" windowHeight="15804" tabRatio="733" firstSheet="4" activeTab="4" xr2:uid="{00000000-000D-0000-FFFF-FFFF00000000}"/>
  </bookViews>
  <sheets>
    <sheet name="LOG" sheetId="11" r:id="rId1"/>
    <sheet name="Intro" sheetId="16" r:id="rId2"/>
    <sheet name="ELC_CCS_Comm" sheetId="12" r:id="rId3"/>
    <sheet name="ELC_CCS_Processes" sheetId="13" r:id="rId4"/>
    <sheet name="SUP_FT_Process" sheetId="47" r:id="rId5"/>
    <sheet name="SUP_DAC" sheetId="38" r:id="rId6"/>
    <sheet name="SUP_DAC2" sheetId="33" r:id="rId7"/>
    <sheet name="ELC_CCS_N_CAP" sheetId="22" r:id="rId8"/>
    <sheet name="IND_CCS" sheetId="40" r:id="rId9"/>
    <sheet name="IND_CCS_N_CAP" sheetId="27" r:id="rId10"/>
    <sheet name="ELC_CCS_TRA" sheetId="35" r:id="rId11"/>
    <sheet name="ELC_CCS_STO" sheetId="34" r:id="rId12"/>
    <sheet name="Emis" sheetId="37" r:id="rId13"/>
    <sheet name="Naming convention" sheetId="7" r:id="rId14"/>
    <sheet name="Adv fossil" sheetId="31" r:id="rId15"/>
    <sheet name="CCS" sheetId="32" r:id="rId16"/>
    <sheet name="Data_Dist_&amp;_CAP" sheetId="36" r:id="rId17"/>
    <sheet name="403.a Direct air capture" sheetId="39" r:id="rId18"/>
    <sheet name="401.a Post comb - small CHP" sheetId="41" r:id="rId19"/>
    <sheet name="401.b Post comb - Large biomass" sheetId="42" r:id="rId20"/>
    <sheet name="401.c Post comb - Cement kiln" sheetId="43" r:id="rId21"/>
    <sheet name="402.a Oxy-fuel- Large Biomass" sheetId="44" r:id="rId22"/>
    <sheet name="402.b Oxy-fuel Cement" sheetId="45" r:id="rId23"/>
  </sheets>
  <externalReferences>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s>
  <definedNames>
    <definedName name="_xlnm._FilterDatabase" localSheetId="7" hidden="1">ELC_CCS_N_CAP!$B$5:$Y$105</definedName>
    <definedName name="_Order1" hidden="1">255</definedName>
    <definedName name="_Order2" hidden="1">255</definedName>
    <definedName name="BiomassLargeCHP">[1]TechnologyData!$A$14:$M$41</definedName>
    <definedName name="BPslut">[1]Plants!$J$2</definedName>
    <definedName name="E_waste" localSheetId="7">#REF!</definedName>
    <definedName name="E_waste" localSheetId="4">#REF!</definedName>
    <definedName name="E_waste">#REF!</definedName>
    <definedName name="Eksportstigning">[1]Plants!$J$6</definedName>
    <definedName name="ElBoiler">[1]TechnologyData!$O$72:$AA$99</definedName>
    <definedName name="ElPriceMix" localSheetId="7">[1]Subsidy!#REF!</definedName>
    <definedName name="ElPriceMix">[1]Subsidy!#REF!</definedName>
    <definedName name="Euro" localSheetId="7">ELC_CCS_N_CAP!#REF!</definedName>
    <definedName name="Euro" localSheetId="4">#REF!</definedName>
    <definedName name="Euro">#REF!</definedName>
    <definedName name="Fastprisår">[2]Forside!$B$5</definedName>
    <definedName name="FIXWINOFF" localSheetId="7">'[3]O&amp;M waste and WIN '!$K$13</definedName>
    <definedName name="FIXWINOFF" localSheetId="12">'[4]Adjusted O&amp;M waste and wind '!$K$13</definedName>
    <definedName name="FIXWINOFF" localSheetId="4">'[5]O&amp;M waste and WIN '!$K$13</definedName>
    <definedName name="FIXWINOFF">'[6]O&amp;M waste and WIN '!$K$13</definedName>
    <definedName name="FIXWINON" localSheetId="7">'[3]O&amp;M waste and WIN '!$K$14</definedName>
    <definedName name="FIXWINON" localSheetId="12">'[4]Adjusted O&amp;M waste and wind '!$K$14</definedName>
    <definedName name="FIXWINON" localSheetId="4">'[5]O&amp;M waste and WIN '!$K$14</definedName>
    <definedName name="FIXWINON">'[6]O&amp;M waste and WIN '!$K$14</definedName>
    <definedName name="FIXWSTBO" localSheetId="7">'[7]O&amp;M waste and WIN '!$E$5</definedName>
    <definedName name="FIXWSTBO">'[8]O&amp;M waste and WIN '!$E$5</definedName>
    <definedName name="FIXWSTBP" localSheetId="7">#REF!</definedName>
    <definedName name="FIXWSTBP" localSheetId="12">'[4]Adjusted O&amp;M waste and wind '!$C$4</definedName>
    <definedName name="FIXWSTBP" localSheetId="4">#REF!</definedName>
    <definedName name="FIXWSTBP">#REF!</definedName>
    <definedName name="FuelPrices" localSheetId="4">#REF!</definedName>
    <definedName name="FuelPrices">#REF!</definedName>
    <definedName name="HeatPump_Large">[1]TechnologyData!$O$101:$AA$128</definedName>
    <definedName name="Inflation" localSheetId="7">[1]General!#REF!</definedName>
    <definedName name="Inflation">[1]General!#REF!</definedName>
    <definedName name="LastPSOYear">[1]Plants!$H$2</definedName>
    <definedName name="MWhGJ" localSheetId="7">#REF!</definedName>
    <definedName name="MWhGJ" localSheetId="4">#REF!</definedName>
    <definedName name="MWhGJ">#REF!</definedName>
    <definedName name="Nettarif">[1]TechnologyData!$F$11</definedName>
    <definedName name="NGCC_SmallBP">[1]TechnologyData!$A$72:$M$99</definedName>
    <definedName name="nhydro" localSheetId="7">[1]General!#REF!</definedName>
    <definedName name="nhydro">[1]General!#REF!</definedName>
    <definedName name="NyeNGCC">[1]Plants!$J$5</definedName>
    <definedName name="OffshoreWindPark">[1]TechnologyData!$O$43:$AA$70</definedName>
    <definedName name="OnshoreWindPark">[1]TechnologyData!$O$14:$AA$41</definedName>
    <definedName name="Prisår_Til_Ramses" localSheetId="4">#REF!</definedName>
    <definedName name="Prisår_Til_Ramses">#REF!</definedName>
    <definedName name="Real_interest_rate">[9]TechnologyData!$B$37</definedName>
    <definedName name="RefurbishedCoalBioCHP">[1]TechnologyData!$A$43:$M$70</definedName>
    <definedName name="RenovCKV">[1]Plants!$J$4</definedName>
    <definedName name="sheet33">'401.a Post comb - small CHP'!$B$2</definedName>
    <definedName name="sheet34">'401.b Post comb - Large biomass'!$B$2</definedName>
    <definedName name="sheet35">'401.c Post comb - Cement kiln'!$B$2</definedName>
    <definedName name="sheet36">'402.a Oxy-fuel- Large Biomass'!$B$2</definedName>
    <definedName name="sheet37">'402.b Oxy-fuel Cement'!$B$2</definedName>
    <definedName name="sheet38">'403.a Direct air capture'!$B$2</definedName>
    <definedName name="VARWINOFF" localSheetId="7">'[3]O&amp;M waste and WIN '!$L$13</definedName>
    <definedName name="VARWINOFF" localSheetId="12">'[4]Adjusted O&amp;M waste and wind '!$L$13</definedName>
    <definedName name="VARWINOFF" localSheetId="4">'[5]O&amp;M waste and WIN '!$L$13</definedName>
    <definedName name="VARWINOFF">'[6]O&amp;M waste and WIN '!$L$13</definedName>
    <definedName name="VARWINON" localSheetId="7">'[3]O&amp;M waste and WIN '!$L$14</definedName>
    <definedName name="VARWINON" localSheetId="12">'[4]Adjusted O&amp;M waste and wind '!$L$14</definedName>
    <definedName name="VARWINON" localSheetId="4">'[5]O&amp;M waste and WIN '!$L$14</definedName>
    <definedName name="VARWINON">'[6]O&amp;M waste and WIN '!$L$14</definedName>
    <definedName name="VARWSTBO" localSheetId="7">#REF!</definedName>
    <definedName name="VARWSTBO" localSheetId="12">'[4]Adjusted O&amp;M waste and wind '!$D$5</definedName>
    <definedName name="VARWSTBO" localSheetId="4">#REF!</definedName>
    <definedName name="VARWSTBO">#REF!</definedName>
    <definedName name="VARWSTBP" localSheetId="7">#REF!</definedName>
    <definedName name="VARWSTBP" localSheetId="12">'[4]Adjusted O&amp;M waste and wind '!$D$4</definedName>
    <definedName name="VARWSTBP" localSheetId="4">#REF!</definedName>
    <definedName name="VARWSTBP">#REF!</definedName>
    <definedName name="WasteCHP">[1]TechnologyData!$A$101:$M$129</definedName>
    <definedName name="Wood_SmallBP">[1]TechnologyData!$A$131:$M$158</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64" i="35" l="1"/>
  <c r="O64" i="35"/>
  <c r="Q18" i="34"/>
  <c r="K18" i="34"/>
  <c r="J18" i="34"/>
  <c r="D18" i="34"/>
  <c r="B18" i="34" s="1"/>
  <c r="C126" i="13" s="1"/>
  <c r="D126" i="13"/>
  <c r="D113" i="13"/>
  <c r="C64" i="35" s="1"/>
  <c r="C113" i="13"/>
  <c r="B64" i="35" s="1"/>
  <c r="E64" i="35" s="1"/>
  <c r="D17" i="12"/>
  <c r="S29" i="27"/>
  <c r="AA81" i="27"/>
  <c r="Z81" i="27"/>
  <c r="Y81" i="27"/>
  <c r="AA79" i="27"/>
  <c r="Z79" i="27"/>
  <c r="Y79" i="27"/>
  <c r="AA76" i="27"/>
  <c r="Z76" i="27"/>
  <c r="Y76" i="27"/>
  <c r="AA74" i="27"/>
  <c r="Z74" i="27"/>
  <c r="Y74" i="27"/>
  <c r="AA72" i="27"/>
  <c r="Z72" i="27"/>
  <c r="Y72" i="27"/>
  <c r="AA69" i="27"/>
  <c r="Z69" i="27"/>
  <c r="Y69" i="27"/>
  <c r="AA67" i="27"/>
  <c r="Z67" i="27"/>
  <c r="Y67" i="27"/>
  <c r="AA65" i="27"/>
  <c r="Z65" i="27"/>
  <c r="Y65" i="27"/>
  <c r="AA62" i="27"/>
  <c r="Z62" i="27"/>
  <c r="Y62" i="27"/>
  <c r="AA60" i="27"/>
  <c r="Z60" i="27"/>
  <c r="Y60" i="27"/>
  <c r="AA58" i="27"/>
  <c r="Z58" i="27"/>
  <c r="Y58" i="27"/>
  <c r="AA55" i="27"/>
  <c r="Z55" i="27"/>
  <c r="Y55" i="27"/>
  <c r="AA53" i="27"/>
  <c r="Z53" i="27"/>
  <c r="Y53" i="27"/>
  <c r="AA51" i="27"/>
  <c r="Z51" i="27"/>
  <c r="Y51" i="27"/>
  <c r="AA48" i="27"/>
  <c r="Z48" i="27"/>
  <c r="Y48" i="27"/>
  <c r="AA46" i="27"/>
  <c r="Z46" i="27"/>
  <c r="Y46" i="27"/>
  <c r="AA44" i="27"/>
  <c r="Z44" i="27"/>
  <c r="Y44" i="27"/>
  <c r="AA39" i="27"/>
  <c r="Z39" i="27"/>
  <c r="Y39" i="27"/>
  <c r="AA37" i="27"/>
  <c r="Z37" i="27"/>
  <c r="Y37" i="27"/>
  <c r="AA32" i="27"/>
  <c r="Z32" i="27"/>
  <c r="Y32" i="27"/>
  <c r="AA30" i="27"/>
  <c r="Z30" i="27"/>
  <c r="Y30" i="27"/>
  <c r="L81" i="27" l="1"/>
  <c r="L79" i="27"/>
  <c r="L76" i="27"/>
  <c r="L74" i="27"/>
  <c r="L72" i="27"/>
  <c r="L69" i="27"/>
  <c r="L67" i="27"/>
  <c r="L65" i="27"/>
  <c r="L62" i="27"/>
  <c r="L60" i="27"/>
  <c r="L58" i="27"/>
  <c r="L55" i="27"/>
  <c r="M16" i="27"/>
  <c r="V11" i="40"/>
  <c r="M6" i="27"/>
  <c r="L120" i="32"/>
  <c r="S54" i="22" s="1"/>
  <c r="P180" i="32"/>
  <c r="O180" i="32"/>
  <c r="N180" i="32"/>
  <c r="M180" i="32"/>
  <c r="L180" i="32"/>
  <c r="P119" i="32"/>
  <c r="O119" i="32"/>
  <c r="N119" i="32"/>
  <c r="M119" i="32"/>
  <c r="L119" i="32"/>
  <c r="P59" i="32"/>
  <c r="O59" i="32"/>
  <c r="N59" i="32"/>
  <c r="M59" i="32"/>
  <c r="L59" i="32"/>
  <c r="M29" i="32"/>
  <c r="N29" i="32"/>
  <c r="O29" i="32"/>
  <c r="P29" i="32"/>
  <c r="L29" i="32"/>
  <c r="Q54" i="22"/>
  <c r="L42" i="22"/>
  <c r="AI42" i="22"/>
  <c r="AJ42" i="22" s="1"/>
  <c r="S60" i="22" l="1"/>
  <c r="M8" i="22"/>
  <c r="C127" i="13" l="1"/>
  <c r="C39" i="13" l="1"/>
  <c r="C37" i="13"/>
  <c r="C35" i="13"/>
  <c r="C33" i="13"/>
  <c r="C32" i="13"/>
  <c r="C31" i="13"/>
  <c r="B15" i="45"/>
  <c r="C15" i="45"/>
  <c r="D15" i="45"/>
  <c r="E15" i="45"/>
  <c r="F15" i="45"/>
  <c r="B30" i="45"/>
  <c r="C30" i="45"/>
  <c r="D30" i="45"/>
  <c r="E30" i="45"/>
  <c r="F30" i="45"/>
  <c r="G30" i="45"/>
  <c r="H30" i="45"/>
  <c r="I30" i="45"/>
  <c r="J30" i="45"/>
  <c r="B17" i="44"/>
  <c r="C17" i="44"/>
  <c r="D17" i="44"/>
  <c r="E17" i="44"/>
  <c r="F17" i="44"/>
  <c r="G17" i="44"/>
  <c r="H17" i="44"/>
  <c r="I17" i="44"/>
  <c r="J17" i="44"/>
  <c r="B27" i="44"/>
  <c r="G27" i="44"/>
  <c r="G30" i="44" s="1"/>
  <c r="H27" i="44"/>
  <c r="H30" i="44" s="1"/>
  <c r="I27" i="44"/>
  <c r="J27" i="44"/>
  <c r="E30" i="44"/>
  <c r="F30" i="44"/>
  <c r="I30" i="44"/>
  <c r="J30" i="44"/>
  <c r="B34" i="43"/>
  <c r="C34" i="43"/>
  <c r="D34" i="43"/>
  <c r="E34" i="43"/>
  <c r="F34" i="43"/>
  <c r="G34" i="43"/>
  <c r="H34" i="43"/>
  <c r="I34" i="43"/>
  <c r="J34" i="43"/>
  <c r="B34" i="42"/>
  <c r="C34" i="42"/>
  <c r="D34" i="42"/>
  <c r="E34" i="42"/>
  <c r="F34" i="42"/>
  <c r="G34" i="42"/>
  <c r="H34" i="42"/>
  <c r="I34" i="42"/>
  <c r="J34" i="42"/>
  <c r="B34" i="41"/>
  <c r="C34" i="41"/>
  <c r="D34" i="41"/>
  <c r="E34" i="41"/>
  <c r="F34" i="41"/>
  <c r="G34" i="41"/>
  <c r="H34" i="41"/>
  <c r="I34" i="41"/>
  <c r="J34" i="41"/>
  <c r="C8" i="40"/>
  <c r="C29" i="13" s="1"/>
  <c r="D8" i="40"/>
  <c r="D29" i="13" s="1"/>
  <c r="F8" i="40"/>
  <c r="H8" i="40"/>
  <c r="AM8" i="40" s="1"/>
  <c r="AG8" i="40"/>
  <c r="AF32" i="40" s="1"/>
  <c r="I10" i="40"/>
  <c r="F12" i="40"/>
  <c r="F16" i="40" s="1"/>
  <c r="AF12" i="40"/>
  <c r="I14" i="40"/>
  <c r="I18" i="40"/>
  <c r="C20" i="40"/>
  <c r="A20" i="40" s="1"/>
  <c r="D20" i="40"/>
  <c r="D30" i="13" s="1"/>
  <c r="F20" i="40"/>
  <c r="F24" i="40" s="1"/>
  <c r="F28" i="40" s="1"/>
  <c r="AF20" i="40"/>
  <c r="AG20" i="40"/>
  <c r="A21" i="40"/>
  <c r="A22" i="40" s="1"/>
  <c r="A23" i="40" s="1"/>
  <c r="A24" i="40" s="1"/>
  <c r="I22" i="40"/>
  <c r="AF24" i="40"/>
  <c r="I26" i="40"/>
  <c r="AF28" i="40"/>
  <c r="I30" i="40"/>
  <c r="C32" i="40"/>
  <c r="A32" i="40" s="1"/>
  <c r="D32" i="40"/>
  <c r="D31" i="13" s="1"/>
  <c r="F32" i="40"/>
  <c r="F36" i="40" s="1"/>
  <c r="F40" i="40" s="1"/>
  <c r="H32" i="40"/>
  <c r="AG32" i="40"/>
  <c r="I34" i="40"/>
  <c r="AF36" i="40"/>
  <c r="I38" i="40"/>
  <c r="AF40" i="40"/>
  <c r="I42" i="40"/>
  <c r="C44" i="40"/>
  <c r="H44" i="40" s="1"/>
  <c r="H48" i="40" s="1"/>
  <c r="H52" i="40" s="1"/>
  <c r="AM52" i="40" s="1"/>
  <c r="D44" i="40"/>
  <c r="D32" i="13" s="1"/>
  <c r="F44" i="40"/>
  <c r="F48" i="40" s="1"/>
  <c r="F52" i="40" s="1"/>
  <c r="AF44" i="40"/>
  <c r="AG44" i="40"/>
  <c r="I46" i="40"/>
  <c r="AF48" i="40"/>
  <c r="AM48" i="40"/>
  <c r="I50" i="40"/>
  <c r="AF52" i="40"/>
  <c r="I54" i="40"/>
  <c r="C56" i="40"/>
  <c r="A56" i="40" s="1"/>
  <c r="S56" i="40" s="1" a="1"/>
  <c r="S56" i="40" s="1"/>
  <c r="D56" i="40"/>
  <c r="D33" i="13" s="1"/>
  <c r="F56" i="40"/>
  <c r="F60" i="40" s="1"/>
  <c r="F64" i="40" s="1"/>
  <c r="AF56" i="40"/>
  <c r="AG56" i="40"/>
  <c r="I58" i="40"/>
  <c r="AF60" i="40"/>
  <c r="I62" i="40"/>
  <c r="AF64" i="40"/>
  <c r="I66" i="40"/>
  <c r="C68" i="40"/>
  <c r="A68" i="40" s="1"/>
  <c r="D68" i="40"/>
  <c r="D34" i="13" s="1"/>
  <c r="F68" i="40"/>
  <c r="F72" i="40" s="1"/>
  <c r="F76" i="40" s="1"/>
  <c r="H68" i="40"/>
  <c r="AM68" i="40" s="1"/>
  <c r="AF68" i="40"/>
  <c r="AG68" i="40"/>
  <c r="I70" i="40"/>
  <c r="AF72" i="40"/>
  <c r="I74" i="40"/>
  <c r="AF76" i="40"/>
  <c r="I78" i="40"/>
  <c r="C80" i="40"/>
  <c r="H80" i="40" s="1"/>
  <c r="H84" i="40" s="1"/>
  <c r="D80" i="40"/>
  <c r="D35" i="13" s="1"/>
  <c r="F80" i="40"/>
  <c r="F84" i="40" s="1"/>
  <c r="AF80" i="40"/>
  <c r="AG80" i="40"/>
  <c r="I82" i="40"/>
  <c r="AF84" i="40"/>
  <c r="I86" i="40"/>
  <c r="F88" i="40"/>
  <c r="AF88" i="40"/>
  <c r="I90" i="40"/>
  <c r="C92" i="40"/>
  <c r="A92" i="40" s="1"/>
  <c r="D92" i="40"/>
  <c r="D36" i="13" s="1"/>
  <c r="F92" i="40"/>
  <c r="AF92" i="40"/>
  <c r="AG92" i="40"/>
  <c r="I94" i="40"/>
  <c r="F96" i="40"/>
  <c r="F100" i="40" s="1"/>
  <c r="AF96" i="40"/>
  <c r="I98" i="40"/>
  <c r="AF100" i="40"/>
  <c r="I102" i="40"/>
  <c r="C104" i="40"/>
  <c r="A104" i="40" s="1"/>
  <c r="M104" i="40" s="1" a="1"/>
  <c r="M104" i="40" s="1"/>
  <c r="D104" i="40"/>
  <c r="D37" i="13" s="1"/>
  <c r="F104" i="40"/>
  <c r="F108" i="40" s="1"/>
  <c r="F112" i="40" s="1"/>
  <c r="S104" i="40" a="1"/>
  <c r="S104" i="40" s="1"/>
  <c r="AF104" i="40"/>
  <c r="AG104" i="40"/>
  <c r="A105" i="40"/>
  <c r="A106" i="40" s="1"/>
  <c r="A107" i="40" s="1"/>
  <c r="A108" i="40" s="1"/>
  <c r="I106" i="40"/>
  <c r="V106" i="40" a="1"/>
  <c r="V106" i="40" s="1"/>
  <c r="AF108" i="40"/>
  <c r="I110" i="40"/>
  <c r="AF112" i="40"/>
  <c r="I114" i="40"/>
  <c r="C116" i="40"/>
  <c r="A116" i="40" s="1"/>
  <c r="M116" i="40" s="1" a="1"/>
  <c r="M116" i="40" s="1"/>
  <c r="D116" i="40"/>
  <c r="D38" i="13" s="1"/>
  <c r="F116" i="40"/>
  <c r="F120" i="40" s="1"/>
  <c r="F124" i="40" s="1"/>
  <c r="AF116" i="40"/>
  <c r="AG116" i="40"/>
  <c r="I118" i="40"/>
  <c r="AF120" i="40"/>
  <c r="I122" i="40"/>
  <c r="AF124" i="40"/>
  <c r="I126" i="40"/>
  <c r="C128" i="40"/>
  <c r="H128" i="40" s="1"/>
  <c r="H132" i="40" s="1"/>
  <c r="H136" i="40" s="1"/>
  <c r="AM136" i="40" s="1"/>
  <c r="D128" i="40"/>
  <c r="D39" i="13" s="1"/>
  <c r="F128" i="40"/>
  <c r="F132" i="40" s="1"/>
  <c r="F136" i="40" s="1"/>
  <c r="AF128" i="40"/>
  <c r="AG128" i="40"/>
  <c r="AM128" i="40"/>
  <c r="I130" i="40"/>
  <c r="AF132" i="40"/>
  <c r="I134" i="40"/>
  <c r="AF136" i="40"/>
  <c r="I138" i="40"/>
  <c r="C140" i="40"/>
  <c r="C40" i="13" s="1"/>
  <c r="D140" i="40"/>
  <c r="D40" i="13" s="1"/>
  <c r="F140" i="40"/>
  <c r="AF140" i="40"/>
  <c r="AG140" i="40"/>
  <c r="I142" i="40"/>
  <c r="F144" i="40"/>
  <c r="F148" i="40" s="1"/>
  <c r="AF144" i="40"/>
  <c r="I146" i="40"/>
  <c r="AF148" i="40"/>
  <c r="I150" i="40"/>
  <c r="C152" i="40"/>
  <c r="H152" i="40" s="1"/>
  <c r="AM152" i="40" s="1"/>
  <c r="D152" i="40"/>
  <c r="D41" i="13" s="1"/>
  <c r="F152" i="40"/>
  <c r="F156" i="40" s="1"/>
  <c r="F160" i="40" s="1"/>
  <c r="AF152" i="40"/>
  <c r="AG152" i="40"/>
  <c r="I154" i="40"/>
  <c r="AF156" i="40"/>
  <c r="I158" i="40"/>
  <c r="AF160" i="40"/>
  <c r="I162" i="40"/>
  <c r="C164" i="40"/>
  <c r="H164" i="40" s="1"/>
  <c r="AM164" i="40" s="1"/>
  <c r="D164" i="40"/>
  <c r="D42" i="13" s="1"/>
  <c r="F164" i="40"/>
  <c r="F168" i="40" s="1"/>
  <c r="F172" i="40" s="1"/>
  <c r="AF164" i="40"/>
  <c r="AG164" i="40"/>
  <c r="I166" i="40"/>
  <c r="AF168" i="40"/>
  <c r="I170" i="40"/>
  <c r="AF172" i="40"/>
  <c r="I174" i="40"/>
  <c r="C176" i="40"/>
  <c r="A176" i="40" s="1"/>
  <c r="D176" i="40"/>
  <c r="D43" i="13" s="1"/>
  <c r="F176" i="40"/>
  <c r="F180" i="40" s="1"/>
  <c r="F184" i="40" s="1"/>
  <c r="H176" i="40"/>
  <c r="H180" i="40" s="1"/>
  <c r="AF176" i="40"/>
  <c r="AG176" i="40"/>
  <c r="I178" i="40"/>
  <c r="AF180" i="40"/>
  <c r="I182" i="40"/>
  <c r="AF184" i="40"/>
  <c r="I186" i="40"/>
  <c r="C188" i="40"/>
  <c r="A188" i="40" s="1"/>
  <c r="D188" i="40"/>
  <c r="D44" i="13" s="1"/>
  <c r="F188" i="40"/>
  <c r="F192" i="40" s="1"/>
  <c r="F196" i="40" s="1"/>
  <c r="AF188" i="40"/>
  <c r="AG188" i="40"/>
  <c r="I190" i="40"/>
  <c r="AF192" i="40"/>
  <c r="I194" i="40"/>
  <c r="AF196" i="40"/>
  <c r="I198" i="40"/>
  <c r="D54" i="13"/>
  <c r="D53" i="13"/>
  <c r="C54" i="13"/>
  <c r="C53" i="13"/>
  <c r="J27" i="39"/>
  <c r="I27" i="39"/>
  <c r="H27" i="39"/>
  <c r="G27" i="39"/>
  <c r="F27" i="39"/>
  <c r="E27" i="39"/>
  <c r="D27" i="39"/>
  <c r="C27" i="39"/>
  <c r="B27" i="39"/>
  <c r="P14" i="39"/>
  <c r="P12" i="39"/>
  <c r="P10" i="39"/>
  <c r="P9" i="39"/>
  <c r="P11" i="39" s="1"/>
  <c r="R24" i="38"/>
  <c r="Q24" i="38"/>
  <c r="O24" i="38"/>
  <c r="L24" i="38"/>
  <c r="K24" i="38"/>
  <c r="G24" i="38"/>
  <c r="F24" i="38"/>
  <c r="D24" i="38"/>
  <c r="R22" i="38"/>
  <c r="Q22" i="38"/>
  <c r="O22" i="38"/>
  <c r="G22" i="38"/>
  <c r="F22" i="38"/>
  <c r="D22" i="38"/>
  <c r="R20" i="38"/>
  <c r="Q20" i="38"/>
  <c r="O20" i="38"/>
  <c r="L20" i="38"/>
  <c r="K20" i="38"/>
  <c r="I20" i="38"/>
  <c r="G20" i="38"/>
  <c r="F20" i="38"/>
  <c r="D20" i="38"/>
  <c r="V19" i="38"/>
  <c r="I19" i="38"/>
  <c r="R18" i="38"/>
  <c r="Q18" i="38"/>
  <c r="O18" i="38"/>
  <c r="L18" i="38"/>
  <c r="K18" i="38"/>
  <c r="G18" i="38"/>
  <c r="F18" i="38"/>
  <c r="D18" i="38"/>
  <c r="R16" i="38"/>
  <c r="O16" i="38"/>
  <c r="H16" i="38"/>
  <c r="G16" i="38"/>
  <c r="F16" i="38"/>
  <c r="D16" i="38"/>
  <c r="V15" i="38"/>
  <c r="V25" i="38" s="1"/>
  <c r="I15" i="38"/>
  <c r="I25" i="38" s="1"/>
  <c r="L14" i="38"/>
  <c r="K14" i="38"/>
  <c r="I14" i="38"/>
  <c r="I24" i="38" s="1"/>
  <c r="V13" i="38"/>
  <c r="V23" i="38" s="1"/>
  <c r="I13" i="38"/>
  <c r="I23" i="38" s="1"/>
  <c r="L12" i="38"/>
  <c r="L22" i="38" s="1"/>
  <c r="K12" i="38"/>
  <c r="K22" i="38" s="1"/>
  <c r="I12" i="38"/>
  <c r="I22" i="38" s="1"/>
  <c r="V11" i="38"/>
  <c r="V21" i="38" s="1"/>
  <c r="I11" i="38"/>
  <c r="I21" i="38" s="1"/>
  <c r="L10" i="38"/>
  <c r="K10" i="38"/>
  <c r="I10" i="38"/>
  <c r="V9" i="38"/>
  <c r="I9" i="38"/>
  <c r="L8" i="38"/>
  <c r="K8" i="38"/>
  <c r="I8" i="38"/>
  <c r="I18" i="38" s="1"/>
  <c r="V7" i="38"/>
  <c r="V17" i="38" s="1"/>
  <c r="I7" i="38"/>
  <c r="I17" i="38" s="1"/>
  <c r="Q6" i="38"/>
  <c r="Q16" i="38" s="1"/>
  <c r="L6" i="38"/>
  <c r="L16" i="38" s="1"/>
  <c r="K6" i="38"/>
  <c r="K16" i="38" s="1"/>
  <c r="I6" i="38"/>
  <c r="I16" i="38" s="1"/>
  <c r="C38" i="13" l="1"/>
  <c r="C41" i="13"/>
  <c r="C42" i="13"/>
  <c r="C34" i="13"/>
  <c r="C43" i="13"/>
  <c r="C44" i="13"/>
  <c r="AM176" i="40"/>
  <c r="AM132" i="40"/>
  <c r="Z104" i="40" a="1"/>
  <c r="Z104" i="40" s="1"/>
  <c r="Q104" i="40" a="1"/>
  <c r="Q104" i="40" s="1"/>
  <c r="H188" i="40"/>
  <c r="H192" i="40" s="1"/>
  <c r="H196" i="40" s="1"/>
  <c r="AM196" i="40" s="1"/>
  <c r="H72" i="40"/>
  <c r="C36" i="13"/>
  <c r="H156" i="40"/>
  <c r="AM156" i="40" s="1"/>
  <c r="P68" i="40" a="1"/>
  <c r="P68" i="40" s="1"/>
  <c r="Z68" i="40" a="1"/>
  <c r="Z68" i="40" s="1"/>
  <c r="AL68" i="40" s="1"/>
  <c r="A69" i="40"/>
  <c r="A70" i="40" s="1"/>
  <c r="A71" i="40" s="1"/>
  <c r="A72" i="40" s="1"/>
  <c r="A73" i="40" s="1"/>
  <c r="A74" i="40" s="1"/>
  <c r="A75" i="40" s="1"/>
  <c r="A76" i="40" s="1"/>
  <c r="P92" i="40" a="1"/>
  <c r="P92" i="40" s="1"/>
  <c r="V94" i="40" a="1"/>
  <c r="V94" i="40" s="1"/>
  <c r="S92" i="40" a="1"/>
  <c r="S92" i="40" s="1"/>
  <c r="A93" i="40"/>
  <c r="A94" i="40" s="1"/>
  <c r="A95" i="40" s="1"/>
  <c r="A96" i="40" s="1"/>
  <c r="P96" i="40" s="1" a="1"/>
  <c r="P96" i="40" s="1"/>
  <c r="M92" i="40" a="1"/>
  <c r="M92" i="40" s="1"/>
  <c r="AM44" i="40"/>
  <c r="H20" i="40"/>
  <c r="H92" i="40"/>
  <c r="A44" i="40"/>
  <c r="A164" i="40"/>
  <c r="V166" i="40" s="1" a="1"/>
  <c r="V166" i="40" s="1"/>
  <c r="H104" i="40"/>
  <c r="H108" i="40" s="1"/>
  <c r="AM80" i="40"/>
  <c r="A152" i="40"/>
  <c r="Z116" i="40" a="1"/>
  <c r="Z116" i="40" s="1"/>
  <c r="AL116" i="40" s="1"/>
  <c r="A8" i="40"/>
  <c r="S8" i="40" s="1" a="1"/>
  <c r="S8" i="40" s="1"/>
  <c r="Q116" i="40" a="1"/>
  <c r="Q116" i="40" s="1"/>
  <c r="H168" i="40"/>
  <c r="AM168" i="40" s="1"/>
  <c r="P116" i="40" a="1"/>
  <c r="P116" i="40" s="1"/>
  <c r="H116" i="40"/>
  <c r="AM116" i="40" s="1"/>
  <c r="C30" i="13"/>
  <c r="Z72" i="40" a="1"/>
  <c r="Z72" i="40" s="1"/>
  <c r="P72" i="40" a="1"/>
  <c r="P72" i="40" s="1"/>
  <c r="V74" i="40" a="1"/>
  <c r="V74" i="40" s="1"/>
  <c r="A97" i="40"/>
  <c r="A98" i="40" s="1"/>
  <c r="A99" i="40" s="1"/>
  <c r="A100" i="40" s="1"/>
  <c r="V98" i="40" a="1"/>
  <c r="V98" i="40" s="1"/>
  <c r="AM180" i="40"/>
  <c r="H184" i="40"/>
  <c r="AM184" i="40" s="1"/>
  <c r="A109" i="40"/>
  <c r="A110" i="40" s="1"/>
  <c r="A111" i="40" s="1"/>
  <c r="A112" i="40" s="1"/>
  <c r="V110" i="40" a="1"/>
  <c r="V110" i="40" s="1"/>
  <c r="Z108" i="40" a="1"/>
  <c r="Z108" i="40" s="1"/>
  <c r="P108" i="40" a="1"/>
  <c r="P108" i="40" s="1"/>
  <c r="P176" i="40" a="1"/>
  <c r="P176" i="40" s="1"/>
  <c r="S176" i="40" a="1"/>
  <c r="S176" i="40" s="1"/>
  <c r="Z176" i="40" a="1"/>
  <c r="Z176" i="40" s="1"/>
  <c r="V178" i="40" a="1"/>
  <c r="V178" i="40" s="1"/>
  <c r="M176" i="40" a="1"/>
  <c r="M176" i="40" s="1"/>
  <c r="Q176" i="40" a="1"/>
  <c r="Q176" i="40" s="1"/>
  <c r="A177" i="40"/>
  <c r="A178" i="40" s="1"/>
  <c r="A179" i="40" s="1"/>
  <c r="A180" i="40" s="1"/>
  <c r="P188" i="40" a="1"/>
  <c r="P188" i="40" s="1"/>
  <c r="Q188" i="40" a="1"/>
  <c r="Q188" i="40" s="1"/>
  <c r="S188" i="40" a="1"/>
  <c r="S188" i="40" s="1"/>
  <c r="A189" i="40"/>
  <c r="A190" i="40" s="1"/>
  <c r="A191" i="40" s="1"/>
  <c r="A192" i="40" s="1"/>
  <c r="V190" i="40" a="1"/>
  <c r="V190" i="40" s="1"/>
  <c r="M188" i="40" a="1"/>
  <c r="M188" i="40" s="1"/>
  <c r="Z188" i="40" a="1"/>
  <c r="Z188" i="40" s="1"/>
  <c r="AL104" i="40"/>
  <c r="AM192" i="40"/>
  <c r="S152" i="40" a="1"/>
  <c r="S152" i="40" s="1"/>
  <c r="Q152" i="40" a="1"/>
  <c r="Q152" i="40" s="1"/>
  <c r="H88" i="40"/>
  <c r="AM88" i="40" s="1"/>
  <c r="AM84" i="40"/>
  <c r="AM32" i="40"/>
  <c r="H36" i="40"/>
  <c r="A33" i="40"/>
  <c r="A34" i="40" s="1"/>
  <c r="A35" i="40" s="1"/>
  <c r="A36" i="40" s="1"/>
  <c r="M32" i="40" a="1"/>
  <c r="M32" i="40" s="1"/>
  <c r="V34" i="40" a="1"/>
  <c r="V34" i="40" s="1"/>
  <c r="S32" i="40" a="1"/>
  <c r="S32" i="40" s="1"/>
  <c r="P32" i="40" a="1"/>
  <c r="P32" i="40" s="1"/>
  <c r="Q32" i="40" a="1"/>
  <c r="Q32" i="40" s="1"/>
  <c r="Z32" i="40" a="1"/>
  <c r="Z32" i="40" s="1"/>
  <c r="Q68" i="40" a="1"/>
  <c r="Q68" i="40" s="1"/>
  <c r="S68" i="40" a="1"/>
  <c r="S68" i="40" s="1"/>
  <c r="M68" i="40" a="1"/>
  <c r="M68" i="40" s="1"/>
  <c r="V70" i="40" a="1"/>
  <c r="V70" i="40" s="1"/>
  <c r="P44" i="40" a="1"/>
  <c r="P44" i="40" s="1"/>
  <c r="S44" i="40" a="1"/>
  <c r="S44" i="40" s="1"/>
  <c r="Z44" i="40" a="1"/>
  <c r="Z44" i="40" s="1"/>
  <c r="A45" i="40"/>
  <c r="A46" i="40" s="1"/>
  <c r="A47" i="40" s="1"/>
  <c r="A48" i="40" s="1"/>
  <c r="Q44" i="40" a="1"/>
  <c r="Q44" i="40" s="1"/>
  <c r="AM92" i="40"/>
  <c r="H96" i="40"/>
  <c r="A57" i="40"/>
  <c r="A58" i="40" s="1"/>
  <c r="A59" i="40" s="1"/>
  <c r="A60" i="40" s="1"/>
  <c r="M56" i="40" a="1"/>
  <c r="M56" i="40" s="1"/>
  <c r="V58" i="40" a="1"/>
  <c r="V58" i="40" s="1"/>
  <c r="P56" i="40" a="1"/>
  <c r="P56" i="40" s="1"/>
  <c r="Q56" i="40" a="1"/>
  <c r="Q56" i="40" s="1"/>
  <c r="Z56" i="40" a="1"/>
  <c r="Z56" i="40" s="1"/>
  <c r="V154" i="40" a="1"/>
  <c r="V154" i="40" s="1"/>
  <c r="H160" i="40"/>
  <c r="AM160" i="40" s="1"/>
  <c r="A117" i="40"/>
  <c r="A118" i="40" s="1"/>
  <c r="A119" i="40" s="1"/>
  <c r="A120" i="40" s="1"/>
  <c r="S116" i="40" a="1"/>
  <c r="S116" i="40" s="1"/>
  <c r="V118" i="40" a="1"/>
  <c r="V118" i="40" s="1"/>
  <c r="A153" i="40"/>
  <c r="A154" i="40" s="1"/>
  <c r="A155" i="40" s="1"/>
  <c r="A156" i="40" s="1"/>
  <c r="AM188" i="40"/>
  <c r="Z152" i="40" a="1"/>
  <c r="Z152" i="40" s="1"/>
  <c r="H120" i="40"/>
  <c r="M164" i="40" a="1"/>
  <c r="M164" i="40" s="1"/>
  <c r="V26" i="40" a="1"/>
  <c r="V26" i="40" s="1"/>
  <c r="P24" i="40" a="1"/>
  <c r="P24" i="40" s="1"/>
  <c r="Z24" i="40" a="1"/>
  <c r="Z24" i="40" s="1"/>
  <c r="A25" i="40"/>
  <c r="A26" i="40" s="1"/>
  <c r="A27" i="40" s="1"/>
  <c r="A28" i="40" s="1"/>
  <c r="A165" i="40"/>
  <c r="A166" i="40" s="1"/>
  <c r="A167" i="40" s="1"/>
  <c r="A168" i="40" s="1"/>
  <c r="P152" i="40" a="1"/>
  <c r="P152" i="40" s="1"/>
  <c r="AM72" i="40"/>
  <c r="H76" i="40"/>
  <c r="AM76" i="40" s="1"/>
  <c r="M152" i="40" a="1"/>
  <c r="M152" i="40" s="1"/>
  <c r="B30" i="44"/>
  <c r="C27" i="44"/>
  <c r="S20" i="40" a="1"/>
  <c r="S20" i="40" s="1"/>
  <c r="M20" i="40" a="1"/>
  <c r="M20" i="40" s="1"/>
  <c r="V22" i="40" a="1"/>
  <c r="V22" i="40" s="1"/>
  <c r="P20" i="40" a="1"/>
  <c r="P20" i="40" s="1"/>
  <c r="Q20" i="40" a="1"/>
  <c r="Q20" i="40" s="1"/>
  <c r="Z20" i="40" a="1"/>
  <c r="Z20" i="40" s="1"/>
  <c r="P104" i="40" a="1"/>
  <c r="P104" i="40" s="1"/>
  <c r="A128" i="40"/>
  <c r="A80" i="40"/>
  <c r="Z8" i="40" a="1"/>
  <c r="Z8" i="40" s="1"/>
  <c r="A9" i="40"/>
  <c r="A10" i="40" s="1"/>
  <c r="A11" i="40" s="1"/>
  <c r="A12" i="40" s="1"/>
  <c r="M8" i="40" a="1"/>
  <c r="M8" i="40" s="1"/>
  <c r="V10" i="40" a="1"/>
  <c r="V10" i="40" s="1"/>
  <c r="P8" i="40" a="1"/>
  <c r="P8" i="40" s="1"/>
  <c r="Q8" i="40" a="1"/>
  <c r="Q8" i="40" s="1"/>
  <c r="Z92" i="40" a="1"/>
  <c r="Z92" i="40" s="1"/>
  <c r="A140" i="40"/>
  <c r="H140" i="40"/>
  <c r="Q92" i="40" a="1"/>
  <c r="Q92" i="40" s="1"/>
  <c r="H12" i="40"/>
  <c r="AF16" i="40"/>
  <c r="H56" i="40"/>
  <c r="AF8" i="40"/>
  <c r="P13" i="39"/>
  <c r="P15" i="39"/>
  <c r="P17" i="39" s="1"/>
  <c r="Q164" i="40" l="1" a="1"/>
  <c r="Q164" i="40" s="1"/>
  <c r="AM104" i="40"/>
  <c r="Z96" i="40" a="1"/>
  <c r="Z96" i="40" s="1"/>
  <c r="Z164" i="40" a="1"/>
  <c r="Z164" i="40" s="1"/>
  <c r="S164" i="40" a="1"/>
  <c r="S164" i="40" s="1"/>
  <c r="P164" i="40" a="1"/>
  <c r="P164" i="40" s="1"/>
  <c r="M44" i="40" a="1"/>
  <c r="M44" i="40" s="1"/>
  <c r="V46" i="40" a="1"/>
  <c r="V46" i="40" s="1"/>
  <c r="H172" i="40"/>
  <c r="AM172" i="40" s="1"/>
  <c r="H24" i="40"/>
  <c r="AM20" i="40"/>
  <c r="AL92" i="40"/>
  <c r="AL24" i="40"/>
  <c r="AM96" i="40"/>
  <c r="H100" i="40"/>
  <c r="AM100" i="40" s="1"/>
  <c r="AL176" i="40"/>
  <c r="P12" i="40" a="1"/>
  <c r="P12" i="40" s="1"/>
  <c r="Z12" i="40" a="1"/>
  <c r="Z12" i="40" s="1"/>
  <c r="A13" i="40"/>
  <c r="A14" i="40" s="1"/>
  <c r="A15" i="40" s="1"/>
  <c r="A16" i="40" s="1"/>
  <c r="V14" i="40" a="1"/>
  <c r="V14" i="40" s="1"/>
  <c r="P48" i="40" a="1"/>
  <c r="P48" i="40" s="1"/>
  <c r="Z48" i="40" a="1"/>
  <c r="Z48" i="40" s="1"/>
  <c r="V50" i="40" a="1"/>
  <c r="V50" i="40" s="1"/>
  <c r="A49" i="40"/>
  <c r="A50" i="40" s="1"/>
  <c r="A51" i="40" s="1"/>
  <c r="A52" i="40" s="1"/>
  <c r="AL8" i="40"/>
  <c r="AM120" i="40"/>
  <c r="H124" i="40"/>
  <c r="AM124" i="40" s="1"/>
  <c r="Z156" i="40" a="1"/>
  <c r="Z156" i="40" s="1"/>
  <c r="A157" i="40"/>
  <c r="A158" i="40" s="1"/>
  <c r="A159" i="40" s="1"/>
  <c r="A160" i="40" s="1"/>
  <c r="V158" i="40" a="1"/>
  <c r="V158" i="40" s="1"/>
  <c r="P156" i="40" a="1"/>
  <c r="P156" i="40" s="1"/>
  <c r="H144" i="40"/>
  <c r="AM140" i="40"/>
  <c r="V142" i="40" a="1"/>
  <c r="V142" i="40" s="1"/>
  <c r="M140" i="40" a="1"/>
  <c r="M140" i="40" s="1"/>
  <c r="P140" i="40" a="1"/>
  <c r="P140" i="40" s="1"/>
  <c r="Z140" i="40" a="1"/>
  <c r="Z140" i="40" s="1"/>
  <c r="A141" i="40"/>
  <c r="A142" i="40" s="1"/>
  <c r="A143" i="40" s="1"/>
  <c r="A144" i="40" s="1"/>
  <c r="Q140" i="40" a="1"/>
  <c r="Q140" i="40" s="1"/>
  <c r="S140" i="40" a="1"/>
  <c r="S140" i="40" s="1"/>
  <c r="AL44" i="40"/>
  <c r="Q80" i="40" a="1"/>
  <c r="Q80" i="40" s="1"/>
  <c r="M80" i="40" a="1"/>
  <c r="M80" i="40" s="1"/>
  <c r="S80" i="40" a="1"/>
  <c r="S80" i="40" s="1"/>
  <c r="Z80" i="40" a="1"/>
  <c r="Z80" i="40" s="1"/>
  <c r="A81" i="40"/>
  <c r="A82" i="40" s="1"/>
  <c r="A83" i="40" s="1"/>
  <c r="A84" i="40" s="1"/>
  <c r="V82" i="40" a="1"/>
  <c r="V82" i="40" s="1"/>
  <c r="P80" i="40" a="1"/>
  <c r="P80" i="40" s="1"/>
  <c r="AL152" i="40"/>
  <c r="P128" i="40" a="1"/>
  <c r="P128" i="40" s="1"/>
  <c r="S128" i="40" a="1"/>
  <c r="S128" i="40" s="1"/>
  <c r="A129" i="40"/>
  <c r="A130" i="40" s="1"/>
  <c r="A131" i="40" s="1"/>
  <c r="A132" i="40" s="1"/>
  <c r="V130" i="40" a="1"/>
  <c r="V130" i="40" s="1"/>
  <c r="M128" i="40" a="1"/>
  <c r="M128" i="40" s="1"/>
  <c r="Q128" i="40" a="1"/>
  <c r="Q128" i="40" s="1"/>
  <c r="Z128" i="40" a="1"/>
  <c r="Z128" i="40" s="1"/>
  <c r="AN68" i="40"/>
  <c r="V71" i="40"/>
  <c r="AL108" i="40"/>
  <c r="AN116" i="40"/>
  <c r="V119" i="40"/>
  <c r="V114" i="40" a="1"/>
  <c r="V114" i="40" s="1"/>
  <c r="A113" i="40"/>
  <c r="A114" i="40" s="1"/>
  <c r="A115" i="40" s="1"/>
  <c r="P112" i="40" a="1"/>
  <c r="P112" i="40" s="1"/>
  <c r="Z112" i="40" a="1"/>
  <c r="Z112" i="40" s="1"/>
  <c r="AL20" i="40"/>
  <c r="A121" i="40"/>
  <c r="A122" i="40" s="1"/>
  <c r="A123" i="40" s="1"/>
  <c r="A124" i="40" s="1"/>
  <c r="V122" i="40" a="1"/>
  <c r="V122" i="40" s="1"/>
  <c r="P120" i="40" a="1"/>
  <c r="P120" i="40" s="1"/>
  <c r="Z120" i="40" a="1"/>
  <c r="Z120" i="40" s="1"/>
  <c r="AL164" i="40"/>
  <c r="AL32" i="40"/>
  <c r="AN104" i="40"/>
  <c r="V107" i="40"/>
  <c r="AL188" i="40"/>
  <c r="H112" i="40"/>
  <c r="AM112" i="40" s="1"/>
  <c r="AM108" i="40"/>
  <c r="AM56" i="40"/>
  <c r="H60" i="40"/>
  <c r="C30" i="44"/>
  <c r="D27" i="44"/>
  <c r="D30" i="44" s="1"/>
  <c r="AL56" i="40"/>
  <c r="P192" i="40" a="1"/>
  <c r="P192" i="40" s="1"/>
  <c r="V194" i="40" a="1"/>
  <c r="V194" i="40" s="1"/>
  <c r="Z192" i="40" a="1"/>
  <c r="Z192" i="40" s="1"/>
  <c r="A193" i="40"/>
  <c r="A194" i="40" s="1"/>
  <c r="A195" i="40" s="1"/>
  <c r="A196" i="40" s="1"/>
  <c r="A101" i="40"/>
  <c r="A102" i="40" s="1"/>
  <c r="A103" i="40" s="1"/>
  <c r="V102" i="40" a="1"/>
  <c r="V102" i="40" s="1"/>
  <c r="P100" i="40" a="1"/>
  <c r="P100" i="40" s="1"/>
  <c r="Z100" i="40" a="1"/>
  <c r="Z100" i="40" s="1"/>
  <c r="AM12" i="40"/>
  <c r="H16" i="40"/>
  <c r="AM16" i="40" s="1"/>
  <c r="AL96" i="40"/>
  <c r="A37" i="40"/>
  <c r="A38" i="40" s="1"/>
  <c r="A39" i="40" s="1"/>
  <c r="A40" i="40" s="1"/>
  <c r="V38" i="40" a="1"/>
  <c r="V38" i="40" s="1"/>
  <c r="P36" i="40" a="1"/>
  <c r="P36" i="40" s="1"/>
  <c r="Z36" i="40" a="1"/>
  <c r="Z36" i="40" s="1"/>
  <c r="Z76" i="40" a="1"/>
  <c r="Z76" i="40" s="1"/>
  <c r="V78" i="40" a="1"/>
  <c r="V78" i="40" s="1"/>
  <c r="P76" i="40" a="1"/>
  <c r="P76" i="40" s="1"/>
  <c r="A77" i="40"/>
  <c r="A78" i="40" s="1"/>
  <c r="A79" i="40" s="1"/>
  <c r="AM36" i="40"/>
  <c r="H40" i="40"/>
  <c r="AM40" i="40" s="1"/>
  <c r="Z168" i="40" a="1"/>
  <c r="Z168" i="40" s="1"/>
  <c r="P168" i="40" a="1"/>
  <c r="P168" i="40" s="1"/>
  <c r="A169" i="40"/>
  <c r="A170" i="40" s="1"/>
  <c r="A171" i="40" s="1"/>
  <c r="A172" i="40" s="1"/>
  <c r="V170" i="40" a="1"/>
  <c r="V170" i="40" s="1"/>
  <c r="Z180" i="40" a="1"/>
  <c r="Z180" i="40" s="1"/>
  <c r="P180" i="40" a="1"/>
  <c r="P180" i="40" s="1"/>
  <c r="A181" i="40"/>
  <c r="A182" i="40" s="1"/>
  <c r="A183" i="40" s="1"/>
  <c r="A184" i="40" s="1"/>
  <c r="V182" i="40" a="1"/>
  <c r="V182" i="40" s="1"/>
  <c r="AL72" i="40"/>
  <c r="V30" i="40" a="1"/>
  <c r="V30" i="40" s="1"/>
  <c r="P28" i="40" a="1"/>
  <c r="P28" i="40" s="1"/>
  <c r="Z28" i="40" a="1"/>
  <c r="Z28" i="40" s="1"/>
  <c r="A29" i="40"/>
  <c r="A30" i="40" s="1"/>
  <c r="A31" i="40" s="1"/>
  <c r="V62" i="40" a="1"/>
  <c r="V62" i="40" s="1"/>
  <c r="Z60" i="40" a="1"/>
  <c r="Z60" i="40" s="1"/>
  <c r="A61" i="40"/>
  <c r="A62" i="40" s="1"/>
  <c r="A63" i="40" s="1"/>
  <c r="A64" i="40" s="1"/>
  <c r="P60" i="40" a="1"/>
  <c r="P60" i="40" s="1"/>
  <c r="AM24" i="40" l="1"/>
  <c r="H28" i="40"/>
  <c r="AM28" i="40" s="1"/>
  <c r="AN72" i="40"/>
  <c r="V75" i="40"/>
  <c r="AN96" i="40"/>
  <c r="V99" i="40"/>
  <c r="P184" i="40" a="1"/>
  <c r="P184" i="40" s="1"/>
  <c r="Z184" i="40" a="1"/>
  <c r="Z184" i="40" s="1"/>
  <c r="A185" i="40"/>
  <c r="A186" i="40" s="1"/>
  <c r="A187" i="40" s="1"/>
  <c r="V186" i="40" a="1"/>
  <c r="V186" i="40" s="1"/>
  <c r="Z160" i="40" a="1"/>
  <c r="Z160" i="40" s="1"/>
  <c r="V162" i="40" a="1"/>
  <c r="V162" i="40" s="1"/>
  <c r="P160" i="40" a="1"/>
  <c r="P160" i="40" s="1"/>
  <c r="A161" i="40"/>
  <c r="A162" i="40" s="1"/>
  <c r="A163" i="40" s="1"/>
  <c r="AL100" i="40"/>
  <c r="AL120" i="40"/>
  <c r="AL180" i="40"/>
  <c r="A125" i="40"/>
  <c r="A126" i="40" s="1"/>
  <c r="A127" i="40" s="1"/>
  <c r="V126" i="40" a="1"/>
  <c r="V126" i="40" s="1"/>
  <c r="P124" i="40" a="1"/>
  <c r="P124" i="40" s="1"/>
  <c r="Z124" i="40" a="1"/>
  <c r="Z124" i="40" s="1"/>
  <c r="Z84" i="40" a="1"/>
  <c r="Z84" i="40" s="1"/>
  <c r="P84" i="40" a="1"/>
  <c r="P84" i="40" s="1"/>
  <c r="A85" i="40"/>
  <c r="A86" i="40" s="1"/>
  <c r="A87" i="40" s="1"/>
  <c r="A88" i="40" s="1"/>
  <c r="V86" i="40" a="1"/>
  <c r="V86" i="40" s="1"/>
  <c r="AL80" i="40"/>
  <c r="AN8" i="40"/>
  <c r="AL192" i="40"/>
  <c r="P52" i="40" a="1"/>
  <c r="P52" i="40" s="1"/>
  <c r="Z52" i="40" a="1"/>
  <c r="Z52" i="40" s="1"/>
  <c r="V54" i="40" a="1"/>
  <c r="V54" i="40" s="1"/>
  <c r="A53" i="40"/>
  <c r="A54" i="40" s="1"/>
  <c r="A55" i="40" s="1"/>
  <c r="AL112" i="40"/>
  <c r="AN152" i="40"/>
  <c r="V155" i="40"/>
  <c r="AL48" i="40"/>
  <c r="AL168" i="40"/>
  <c r="V47" i="40"/>
  <c r="AN44" i="40"/>
  <c r="V59" i="40"/>
  <c r="AN56" i="40"/>
  <c r="AL60" i="40"/>
  <c r="P16" i="40" a="1"/>
  <c r="P16" i="40" s="1"/>
  <c r="Z16" i="40" a="1"/>
  <c r="Z16" i="40" s="1"/>
  <c r="A17" i="40"/>
  <c r="A18" i="40" s="1"/>
  <c r="A19" i="40" s="1"/>
  <c r="V18" i="40" a="1"/>
  <c r="V18" i="40" s="1"/>
  <c r="AL156" i="40"/>
  <c r="P64" i="40" a="1"/>
  <c r="P64" i="40" s="1"/>
  <c r="A65" i="40"/>
  <c r="A66" i="40" s="1"/>
  <c r="A67" i="40" s="1"/>
  <c r="V66" i="40" a="1"/>
  <c r="V66" i="40" s="1"/>
  <c r="Z64" i="40" a="1"/>
  <c r="Z64" i="40" s="1"/>
  <c r="AL76" i="40"/>
  <c r="AC117" i="40"/>
  <c r="U117" i="40" s="1"/>
  <c r="AD116" i="40"/>
  <c r="N116" i="40" s="1" a="1"/>
  <c r="N116" i="40" s="1"/>
  <c r="AE116" i="40"/>
  <c r="O116" i="40" s="1" a="1"/>
  <c r="O116" i="40" s="1"/>
  <c r="AB116" i="40"/>
  <c r="AA116" i="40" s="1"/>
  <c r="L116" i="40" s="1"/>
  <c r="AM60" i="40"/>
  <c r="H64" i="40"/>
  <c r="AM64" i="40" s="1"/>
  <c r="AN108" i="40"/>
  <c r="V111" i="40"/>
  <c r="V146" i="40" a="1"/>
  <c r="V146" i="40" s="1"/>
  <c r="Z144" i="40" a="1"/>
  <c r="Z144" i="40" s="1"/>
  <c r="A145" i="40"/>
  <c r="A146" i="40" s="1"/>
  <c r="A147" i="40" s="1"/>
  <c r="A148" i="40" s="1"/>
  <c r="P144" i="40" a="1"/>
  <c r="P144" i="40" s="1"/>
  <c r="AL12" i="40"/>
  <c r="AL140" i="40"/>
  <c r="AL36" i="40"/>
  <c r="AB68" i="40"/>
  <c r="AA68" i="40" s="1"/>
  <c r="L68" i="40" s="1"/>
  <c r="AD68" i="40"/>
  <c r="N68" i="40" s="1" a="1"/>
  <c r="N68" i="40" s="1"/>
  <c r="AE68" i="40"/>
  <c r="O68" i="40" s="1" a="1"/>
  <c r="O68" i="40" s="1"/>
  <c r="AC69" i="40"/>
  <c r="U69" i="40" s="1"/>
  <c r="V179" i="40"/>
  <c r="AN176" i="40"/>
  <c r="V198" i="40" a="1"/>
  <c r="V198" i="40" s="1"/>
  <c r="P196" i="40" a="1"/>
  <c r="P196" i="40" s="1"/>
  <c r="Z196" i="40" a="1"/>
  <c r="Z196" i="40" s="1"/>
  <c r="A197" i="40"/>
  <c r="A198" i="40" s="1"/>
  <c r="A199" i="40" s="1"/>
  <c r="V23" i="40"/>
  <c r="AN20" i="40"/>
  <c r="AL128" i="40"/>
  <c r="AL28" i="40"/>
  <c r="V191" i="40"/>
  <c r="AN188" i="40"/>
  <c r="V174" i="40" a="1"/>
  <c r="V174" i="40" s="1"/>
  <c r="Z172" i="40" a="1"/>
  <c r="Z172" i="40" s="1"/>
  <c r="P172" i="40" a="1"/>
  <c r="P172" i="40" s="1"/>
  <c r="A173" i="40"/>
  <c r="A174" i="40" s="1"/>
  <c r="A175" i="40" s="1"/>
  <c r="A41" i="40"/>
  <c r="A42" i="40" s="1"/>
  <c r="A43" i="40" s="1"/>
  <c r="V42" i="40" a="1"/>
  <c r="V42" i="40" s="1"/>
  <c r="Z40" i="40" a="1"/>
  <c r="Z40" i="40" s="1"/>
  <c r="P40" i="40" a="1"/>
  <c r="P40" i="40" s="1"/>
  <c r="AB104" i="40"/>
  <c r="AA104" i="40" s="1"/>
  <c r="L104" i="40" s="1"/>
  <c r="AE104" i="40"/>
  <c r="O104" i="40" s="1" a="1"/>
  <c r="O104" i="40" s="1"/>
  <c r="AD104" i="40"/>
  <c r="N104" i="40" s="1" a="1"/>
  <c r="N104" i="40" s="1"/>
  <c r="AC105" i="40"/>
  <c r="U105" i="40" s="1"/>
  <c r="V27" i="40"/>
  <c r="AN24" i="40"/>
  <c r="V35" i="40"/>
  <c r="AN32" i="40"/>
  <c r="AM144" i="40"/>
  <c r="H148" i="40"/>
  <c r="AM148" i="40" s="1"/>
  <c r="V167" i="40"/>
  <c r="AN164" i="40"/>
  <c r="V134" i="40" a="1"/>
  <c r="V134" i="40" s="1"/>
  <c r="P132" i="40" a="1"/>
  <c r="P132" i="40" s="1"/>
  <c r="Z132" i="40" a="1"/>
  <c r="Z132" i="40" s="1"/>
  <c r="A133" i="40"/>
  <c r="A134" i="40" s="1"/>
  <c r="A135" i="40" s="1"/>
  <c r="A136" i="40" s="1"/>
  <c r="V95" i="40"/>
  <c r="AN92" i="40"/>
  <c r="AL172" i="40" l="1"/>
  <c r="V171" i="40"/>
  <c r="AN168" i="40"/>
  <c r="AD32" i="40"/>
  <c r="N32" i="40" s="1" a="1"/>
  <c r="N32" i="40" s="1"/>
  <c r="AE32" i="40"/>
  <c r="O32" i="40" s="1" a="1"/>
  <c r="O32" i="40" s="1"/>
  <c r="AC33" i="40"/>
  <c r="U33" i="40" s="1"/>
  <c r="AB32" i="40"/>
  <c r="AA32" i="40" s="1"/>
  <c r="L32" i="40" s="1"/>
  <c r="V51" i="40"/>
  <c r="AN48" i="40"/>
  <c r="P136" i="40" a="1"/>
  <c r="P136" i="40" s="1"/>
  <c r="Z136" i="40" a="1"/>
  <c r="Z136" i="40" s="1"/>
  <c r="A137" i="40"/>
  <c r="A138" i="40" s="1"/>
  <c r="A139" i="40" s="1"/>
  <c r="V138" i="40" a="1"/>
  <c r="V138" i="40" s="1"/>
  <c r="AB164" i="40"/>
  <c r="AA164" i="40" s="1"/>
  <c r="L164" i="40" s="1"/>
  <c r="AD164" i="40"/>
  <c r="N164" i="40" s="1" a="1"/>
  <c r="N164" i="40" s="1"/>
  <c r="AE164" i="40"/>
  <c r="O164" i="40" s="1" a="1"/>
  <c r="O164" i="40" s="1"/>
  <c r="AC165" i="40"/>
  <c r="U165" i="40" s="1"/>
  <c r="AN128" i="40"/>
  <c r="V131" i="40"/>
  <c r="AB44" i="40"/>
  <c r="AA44" i="40" s="1"/>
  <c r="L44" i="40" s="1"/>
  <c r="AD44" i="40"/>
  <c r="N44" i="40" s="1" a="1"/>
  <c r="N44" i="40" s="1"/>
  <c r="AE44" i="40"/>
  <c r="O44" i="40" s="1" a="1"/>
  <c r="O44" i="40" s="1"/>
  <c r="AC45" i="40"/>
  <c r="U45" i="40" s="1"/>
  <c r="AB20" i="40"/>
  <c r="AA20" i="40" s="1"/>
  <c r="L20" i="40" s="1"/>
  <c r="AD20" i="40"/>
  <c r="N20" i="40" s="1" a="1"/>
  <c r="N20" i="40" s="1"/>
  <c r="AE20" i="40"/>
  <c r="O20" i="40" s="1" a="1"/>
  <c r="O20" i="40" s="1"/>
  <c r="AC21" i="40"/>
  <c r="U21" i="40" s="1"/>
  <c r="AB24" i="40"/>
  <c r="AA24" i="40" s="1"/>
  <c r="L24" i="40" s="1"/>
  <c r="AE24" i="40"/>
  <c r="O24" i="40" s="1" a="1"/>
  <c r="O24" i="40" s="1"/>
  <c r="AD24" i="40"/>
  <c r="N24" i="40" s="1" a="1"/>
  <c r="N24" i="40" s="1"/>
  <c r="AC25" i="40"/>
  <c r="U25" i="40" s="1"/>
  <c r="AL196" i="40"/>
  <c r="AN180" i="40"/>
  <c r="V183" i="40"/>
  <c r="AB152" i="40"/>
  <c r="AA152" i="40" s="1"/>
  <c r="L152" i="40" s="1"/>
  <c r="AE152" i="40"/>
  <c r="O152" i="40" s="1" a="1"/>
  <c r="O152" i="40" s="1"/>
  <c r="AD152" i="40"/>
  <c r="N152" i="40" s="1" a="1"/>
  <c r="N152" i="40" s="1"/>
  <c r="AC153" i="40"/>
  <c r="U153" i="40" s="1"/>
  <c r="AL124" i="40"/>
  <c r="AE108" i="40"/>
  <c r="O108" i="40" s="1" a="1"/>
  <c r="O108" i="40" s="1"/>
  <c r="AC109" i="40"/>
  <c r="U109" i="40" s="1"/>
  <c r="AB108" i="40"/>
  <c r="AA108" i="40" s="1"/>
  <c r="L108" i="40" s="1"/>
  <c r="AD108" i="40"/>
  <c r="N108" i="40" s="1" a="1"/>
  <c r="N108" i="40" s="1"/>
  <c r="V79" i="40"/>
  <c r="AN76" i="40"/>
  <c r="V115" i="40"/>
  <c r="AN112" i="40"/>
  <c r="AN120" i="40"/>
  <c r="V123" i="40"/>
  <c r="AD176" i="40"/>
  <c r="N176" i="40" s="1" a="1"/>
  <c r="N176" i="40" s="1"/>
  <c r="AB176" i="40"/>
  <c r="AA176" i="40" s="1"/>
  <c r="L176" i="40" s="1"/>
  <c r="AE176" i="40"/>
  <c r="O176" i="40" s="1" a="1"/>
  <c r="O176" i="40" s="1"/>
  <c r="AC177" i="40"/>
  <c r="U177" i="40" s="1"/>
  <c r="AL64" i="40"/>
  <c r="AN100" i="40"/>
  <c r="V103" i="40"/>
  <c r="AL52" i="40"/>
  <c r="AL40" i="40"/>
  <c r="AL160" i="40"/>
  <c r="AL16" i="40"/>
  <c r="AN156" i="40"/>
  <c r="V159" i="40"/>
  <c r="V195" i="40"/>
  <c r="AN192" i="40"/>
  <c r="AN36" i="40"/>
  <c r="V39" i="40"/>
  <c r="AN140" i="40"/>
  <c r="V143" i="40"/>
  <c r="AB8" i="40"/>
  <c r="AA8" i="40" s="1"/>
  <c r="L8" i="40" s="1"/>
  <c r="AC9" i="40"/>
  <c r="U9" i="40" s="1"/>
  <c r="AD8" i="40"/>
  <c r="N8" i="40" s="1" a="1"/>
  <c r="N8" i="40" s="1"/>
  <c r="AE8" i="40"/>
  <c r="O8" i="40" s="1" a="1"/>
  <c r="O8" i="40" s="1"/>
  <c r="AB92" i="40"/>
  <c r="AA92" i="40" s="1"/>
  <c r="L92" i="40" s="1"/>
  <c r="AD92" i="40"/>
  <c r="N92" i="40" s="1" a="1"/>
  <c r="N92" i="40" s="1"/>
  <c r="AC93" i="40"/>
  <c r="U93" i="40" s="1"/>
  <c r="AE92" i="40"/>
  <c r="O92" i="40" s="1" a="1"/>
  <c r="O92" i="40" s="1"/>
  <c r="V83" i="40"/>
  <c r="AN80" i="40"/>
  <c r="AN12" i="40"/>
  <c r="V15" i="40"/>
  <c r="AL184" i="40"/>
  <c r="AD188" i="40"/>
  <c r="N188" i="40" s="1" a="1"/>
  <c r="N188" i="40" s="1"/>
  <c r="AE188" i="40"/>
  <c r="O188" i="40" s="1" a="1"/>
  <c r="O188" i="40" s="1"/>
  <c r="AC189" i="40"/>
  <c r="U189" i="40" s="1"/>
  <c r="AB188" i="40"/>
  <c r="AA188" i="40" s="1"/>
  <c r="L188" i="40" s="1"/>
  <c r="A149" i="40"/>
  <c r="A150" i="40" s="1"/>
  <c r="A151" i="40" s="1"/>
  <c r="P148" i="40" a="1"/>
  <c r="P148" i="40" s="1"/>
  <c r="Z148" i="40" a="1"/>
  <c r="Z148" i="40" s="1"/>
  <c r="V150" i="40" a="1"/>
  <c r="V150" i="40" s="1"/>
  <c r="AL84" i="40"/>
  <c r="AD96" i="40"/>
  <c r="N96" i="40" s="1" a="1"/>
  <c r="N96" i="40" s="1"/>
  <c r="AE96" i="40"/>
  <c r="O96" i="40" s="1" a="1"/>
  <c r="O96" i="40" s="1"/>
  <c r="AB96" i="40"/>
  <c r="AA96" i="40" s="1"/>
  <c r="L96" i="40" s="1"/>
  <c r="AC97" i="40"/>
  <c r="U97" i="40" s="1"/>
  <c r="AL132" i="40"/>
  <c r="V90" i="40" a="1"/>
  <c r="V90" i="40" s="1"/>
  <c r="P88" i="40" a="1"/>
  <c r="P88" i="40" s="1"/>
  <c r="Z88" i="40" a="1"/>
  <c r="Z88" i="40" s="1"/>
  <c r="A89" i="40"/>
  <c r="A90" i="40" s="1"/>
  <c r="A91" i="40" s="1"/>
  <c r="AN60" i="40"/>
  <c r="V63" i="40"/>
  <c r="V31" i="40"/>
  <c r="AN28" i="40"/>
  <c r="AL144" i="40"/>
  <c r="AE56" i="40"/>
  <c r="O56" i="40" s="1" a="1"/>
  <c r="O56" i="40" s="1"/>
  <c r="AC57" i="40"/>
  <c r="U57" i="40" s="1"/>
  <c r="AB56" i="40"/>
  <c r="AA56" i="40" s="1"/>
  <c r="L56" i="40" s="1"/>
  <c r="AD56" i="40"/>
  <c r="N56" i="40" s="1" a="1"/>
  <c r="N56" i="40" s="1"/>
  <c r="AB72" i="40"/>
  <c r="AA72" i="40" s="1"/>
  <c r="L72" i="40" s="1"/>
  <c r="AE72" i="40"/>
  <c r="O72" i="40" s="1" a="1"/>
  <c r="O72" i="40" s="1"/>
  <c r="AC73" i="40"/>
  <c r="U73" i="40" s="1"/>
  <c r="AD72" i="40"/>
  <c r="N72" i="40" s="1" a="1"/>
  <c r="N72" i="40" s="1"/>
  <c r="AE112" i="40" l="1"/>
  <c r="O112" i="40" s="1" a="1"/>
  <c r="O112" i="40" s="1"/>
  <c r="AC113" i="40"/>
  <c r="U113" i="40" s="1"/>
  <c r="AB112" i="40"/>
  <c r="AA112" i="40" s="1"/>
  <c r="L112" i="40" s="1"/>
  <c r="AD112" i="40"/>
  <c r="N112" i="40" s="1" a="1"/>
  <c r="N112" i="40" s="1"/>
  <c r="V135" i="40"/>
  <c r="AN132" i="40"/>
  <c r="AD120" i="40"/>
  <c r="N120" i="40" s="1" a="1"/>
  <c r="N120" i="40" s="1"/>
  <c r="AB120" i="40"/>
  <c r="AA120" i="40" s="1"/>
  <c r="L120" i="40" s="1"/>
  <c r="AE120" i="40"/>
  <c r="O120" i="40" s="1" a="1"/>
  <c r="O120" i="40" s="1"/>
  <c r="AC121" i="40"/>
  <c r="U121" i="40" s="1"/>
  <c r="AD76" i="40"/>
  <c r="N76" i="40" s="1" a="1"/>
  <c r="N76" i="40" s="1"/>
  <c r="AE76" i="40"/>
  <c r="O76" i="40" s="1" a="1"/>
  <c r="O76" i="40" s="1"/>
  <c r="AC77" i="40"/>
  <c r="U77" i="40" s="1"/>
  <c r="AB76" i="40"/>
  <c r="AA76" i="40" s="1"/>
  <c r="L76" i="40" s="1"/>
  <c r="AB140" i="40"/>
  <c r="AA140" i="40" s="1"/>
  <c r="L140" i="40" s="1"/>
  <c r="AD140" i="40"/>
  <c r="N140" i="40" s="1" a="1"/>
  <c r="N140" i="40" s="1"/>
  <c r="AE140" i="40"/>
  <c r="O140" i="40" s="1" a="1"/>
  <c r="O140" i="40" s="1"/>
  <c r="AC141" i="40"/>
  <c r="U141" i="40" s="1"/>
  <c r="AC129" i="40"/>
  <c r="U129" i="40" s="1"/>
  <c r="AB128" i="40"/>
  <c r="AA128" i="40" s="1"/>
  <c r="L128" i="40" s="1"/>
  <c r="AD128" i="40"/>
  <c r="N128" i="40" s="1" a="1"/>
  <c r="N128" i="40" s="1"/>
  <c r="AE128" i="40"/>
  <c r="O128" i="40" s="1" a="1"/>
  <c r="O128" i="40" s="1"/>
  <c r="AL148" i="40"/>
  <c r="AB156" i="40"/>
  <c r="AA156" i="40" s="1"/>
  <c r="L156" i="40" s="1"/>
  <c r="AC157" i="40"/>
  <c r="U157" i="40" s="1"/>
  <c r="AD156" i="40"/>
  <c r="N156" i="40" s="1" a="1"/>
  <c r="N156" i="40" s="1"/>
  <c r="AE156" i="40"/>
  <c r="O156" i="40" s="1" a="1"/>
  <c r="O156" i="40" s="1"/>
  <c r="V127" i="40"/>
  <c r="AN124" i="40"/>
  <c r="AN16" i="40"/>
  <c r="V19" i="40"/>
  <c r="AL136" i="40"/>
  <c r="AB48" i="40"/>
  <c r="AA48" i="40" s="1"/>
  <c r="L48" i="40" s="1"/>
  <c r="AD48" i="40"/>
  <c r="N48" i="40" s="1" a="1"/>
  <c r="N48" i="40" s="1"/>
  <c r="AE48" i="40"/>
  <c r="O48" i="40" s="1" a="1"/>
  <c r="O48" i="40" s="1"/>
  <c r="AC49" i="40"/>
  <c r="U49" i="40" s="1"/>
  <c r="AN40" i="40"/>
  <c r="V43" i="40"/>
  <c r="AD180" i="40"/>
  <c r="N180" i="40" s="1" a="1"/>
  <c r="N180" i="40" s="1"/>
  <c r="AE180" i="40"/>
  <c r="O180" i="40" s="1" a="1"/>
  <c r="O180" i="40" s="1"/>
  <c r="AB180" i="40"/>
  <c r="AA180" i="40" s="1"/>
  <c r="L180" i="40" s="1"/>
  <c r="AC181" i="40"/>
  <c r="U181" i="40" s="1"/>
  <c r="AN160" i="40"/>
  <c r="V163" i="40"/>
  <c r="AD28" i="40"/>
  <c r="N28" i="40" s="1" a="1"/>
  <c r="N28" i="40" s="1"/>
  <c r="AB28" i="40"/>
  <c r="AA28" i="40" s="1"/>
  <c r="L28" i="40" s="1"/>
  <c r="AC29" i="40"/>
  <c r="U29" i="40" s="1"/>
  <c r="AE28" i="40"/>
  <c r="O28" i="40" s="1" a="1"/>
  <c r="O28" i="40" s="1"/>
  <c r="V55" i="40"/>
  <c r="AN52" i="40"/>
  <c r="AN196" i="40"/>
  <c r="V199" i="40"/>
  <c r="V87" i="40"/>
  <c r="AN84" i="40"/>
  <c r="AB36" i="40"/>
  <c r="AA36" i="40" s="1"/>
  <c r="L36" i="40" s="1"/>
  <c r="AD36" i="40"/>
  <c r="N36" i="40" s="1" a="1"/>
  <c r="N36" i="40" s="1"/>
  <c r="AE36" i="40"/>
  <c r="O36" i="40" s="1" a="1"/>
  <c r="O36" i="40" s="1"/>
  <c r="AC37" i="40"/>
  <c r="U37" i="40" s="1"/>
  <c r="V147" i="40"/>
  <c r="AN144" i="40"/>
  <c r="AN184" i="40"/>
  <c r="V187" i="40"/>
  <c r="AC169" i="40"/>
  <c r="U169" i="40" s="1"/>
  <c r="AD168" i="40"/>
  <c r="N168" i="40" s="1" a="1"/>
  <c r="N168" i="40" s="1"/>
  <c r="AB168" i="40"/>
  <c r="AA168" i="40" s="1"/>
  <c r="L168" i="40" s="1"/>
  <c r="AE168" i="40"/>
  <c r="O168" i="40" s="1" a="1"/>
  <c r="O168" i="40" s="1"/>
  <c r="AC193" i="40"/>
  <c r="U193" i="40" s="1"/>
  <c r="AB192" i="40"/>
  <c r="AA192" i="40" s="1"/>
  <c r="L192" i="40" s="1"/>
  <c r="AD192" i="40"/>
  <c r="N192" i="40" s="1" a="1"/>
  <c r="N192" i="40" s="1"/>
  <c r="AE192" i="40"/>
  <c r="O192" i="40" s="1" a="1"/>
  <c r="O192" i="40" s="1"/>
  <c r="AC61" i="40"/>
  <c r="U61" i="40" s="1"/>
  <c r="AB60" i="40"/>
  <c r="AA60" i="40" s="1"/>
  <c r="L60" i="40" s="1"/>
  <c r="AD60" i="40"/>
  <c r="N60" i="40" s="1" a="1"/>
  <c r="N60" i="40" s="1"/>
  <c r="AE60" i="40"/>
  <c r="O60" i="40" s="1" a="1"/>
  <c r="O60" i="40" s="1"/>
  <c r="AB12" i="40"/>
  <c r="AA12" i="40" s="1"/>
  <c r="L12" i="40" s="1"/>
  <c r="AD12" i="40"/>
  <c r="N12" i="40" s="1" a="1"/>
  <c r="N12" i="40" s="1"/>
  <c r="AC13" i="40"/>
  <c r="U13" i="40" s="1"/>
  <c r="AE12" i="40"/>
  <c r="O12" i="40" s="1" a="1"/>
  <c r="O12" i="40" s="1"/>
  <c r="AB100" i="40"/>
  <c r="AA100" i="40" s="1"/>
  <c r="L100" i="40" s="1"/>
  <c r="AD100" i="40"/>
  <c r="N100" i="40" s="1" a="1"/>
  <c r="N100" i="40" s="1"/>
  <c r="AC101" i="40"/>
  <c r="U101" i="40" s="1"/>
  <c r="AE100" i="40"/>
  <c r="O100" i="40" s="1" a="1"/>
  <c r="O100" i="40" s="1"/>
  <c r="AC81" i="40"/>
  <c r="U81" i="40" s="1"/>
  <c r="AB80" i="40"/>
  <c r="AA80" i="40" s="1"/>
  <c r="L80" i="40" s="1"/>
  <c r="AD80" i="40"/>
  <c r="N80" i="40" s="1" a="1"/>
  <c r="N80" i="40" s="1"/>
  <c r="AE80" i="40"/>
  <c r="O80" i="40" s="1" a="1"/>
  <c r="O80" i="40" s="1"/>
  <c r="AN64" i="40"/>
  <c r="V67" i="40"/>
  <c r="AL88" i="40"/>
  <c r="AN172" i="40"/>
  <c r="V175" i="40"/>
  <c r="AB196" i="40" l="1"/>
  <c r="AA196" i="40" s="1"/>
  <c r="L196" i="40" s="1"/>
  <c r="AE196" i="40"/>
  <c r="O196" i="40" s="1" a="1"/>
  <c r="O196" i="40" s="1"/>
  <c r="AD196" i="40"/>
  <c r="N196" i="40" s="1" a="1"/>
  <c r="N196" i="40" s="1"/>
  <c r="AC197" i="40"/>
  <c r="U197" i="40" s="1"/>
  <c r="AC85" i="40"/>
  <c r="U85" i="40" s="1"/>
  <c r="AD84" i="40"/>
  <c r="N84" i="40" s="1" a="1"/>
  <c r="N84" i="40" s="1"/>
  <c r="AB84" i="40"/>
  <c r="AA84" i="40" s="1"/>
  <c r="L84" i="40" s="1"/>
  <c r="AE84" i="40"/>
  <c r="O84" i="40" s="1" a="1"/>
  <c r="O84" i="40" s="1"/>
  <c r="AB52" i="40"/>
  <c r="AA52" i="40" s="1"/>
  <c r="L52" i="40" s="1"/>
  <c r="AD52" i="40"/>
  <c r="N52" i="40" s="1" a="1"/>
  <c r="N52" i="40" s="1"/>
  <c r="AE52" i="40"/>
  <c r="O52" i="40" s="1" a="1"/>
  <c r="O52" i="40" s="1"/>
  <c r="AC53" i="40"/>
  <c r="U53" i="40" s="1"/>
  <c r="AN148" i="40"/>
  <c r="V151" i="40"/>
  <c r="AD160" i="40"/>
  <c r="N160" i="40" s="1" a="1"/>
  <c r="N160" i="40" s="1"/>
  <c r="AB160" i="40"/>
  <c r="AA160" i="40" s="1"/>
  <c r="L160" i="40" s="1"/>
  <c r="AE160" i="40"/>
  <c r="O160" i="40" s="1" a="1"/>
  <c r="O160" i="40" s="1"/>
  <c r="AC161" i="40"/>
  <c r="U161" i="40" s="1"/>
  <c r="AB40" i="40"/>
  <c r="AA40" i="40" s="1"/>
  <c r="L40" i="40" s="1"/>
  <c r="AD40" i="40"/>
  <c r="N40" i="40" s="1" a="1"/>
  <c r="N40" i="40" s="1"/>
  <c r="AC41" i="40"/>
  <c r="U41" i="40" s="1"/>
  <c r="AE40" i="40"/>
  <c r="O40" i="40" s="1" a="1"/>
  <c r="O40" i="40" s="1"/>
  <c r="AB172" i="40"/>
  <c r="AA172" i="40" s="1"/>
  <c r="L172" i="40" s="1"/>
  <c r="AD172" i="40"/>
  <c r="N172" i="40" s="1" a="1"/>
  <c r="N172" i="40" s="1"/>
  <c r="AE172" i="40"/>
  <c r="O172" i="40" s="1" a="1"/>
  <c r="O172" i="40" s="1"/>
  <c r="AC173" i="40"/>
  <c r="U173" i="40" s="1"/>
  <c r="AC145" i="40"/>
  <c r="U145" i="40" s="1"/>
  <c r="AB144" i="40"/>
  <c r="AA144" i="40" s="1"/>
  <c r="L144" i="40" s="1"/>
  <c r="AD144" i="40"/>
  <c r="N144" i="40" s="1" a="1"/>
  <c r="N144" i="40" s="1"/>
  <c r="AE144" i="40"/>
  <c r="O144" i="40" s="1" a="1"/>
  <c r="O144" i="40" s="1"/>
  <c r="V139" i="40"/>
  <c r="AN136" i="40"/>
  <c r="AC133" i="40"/>
  <c r="U133" i="40" s="1"/>
  <c r="AB132" i="40"/>
  <c r="AA132" i="40" s="1"/>
  <c r="L132" i="40" s="1"/>
  <c r="AD132" i="40"/>
  <c r="N132" i="40" s="1" a="1"/>
  <c r="N132" i="40" s="1"/>
  <c r="AE132" i="40"/>
  <c r="O132" i="40" s="1" a="1"/>
  <c r="O132" i="40" s="1"/>
  <c r="V91" i="40"/>
  <c r="AN88" i="40"/>
  <c r="AB184" i="40"/>
  <c r="AA184" i="40" s="1"/>
  <c r="L184" i="40" s="1"/>
  <c r="AD184" i="40"/>
  <c r="N184" i="40" s="1" a="1"/>
  <c r="N184" i="40" s="1"/>
  <c r="AE184" i="40"/>
  <c r="O184" i="40" s="1" a="1"/>
  <c r="O184" i="40" s="1"/>
  <c r="AC185" i="40"/>
  <c r="U185" i="40" s="1"/>
  <c r="AE64" i="40"/>
  <c r="O64" i="40" s="1" a="1"/>
  <c r="O64" i="40" s="1"/>
  <c r="AC65" i="40"/>
  <c r="U65" i="40" s="1"/>
  <c r="AB64" i="40"/>
  <c r="AA64" i="40" s="1"/>
  <c r="L64" i="40" s="1"/>
  <c r="AD64" i="40"/>
  <c r="N64" i="40" s="1" a="1"/>
  <c r="N64" i="40" s="1"/>
  <c r="AB16" i="40"/>
  <c r="AA16" i="40" s="1"/>
  <c r="L16" i="40" s="1"/>
  <c r="AD16" i="40"/>
  <c r="N16" i="40" s="1" a="1"/>
  <c r="N16" i="40" s="1"/>
  <c r="AC17" i="40"/>
  <c r="U17" i="40" s="1"/>
  <c r="AE16" i="40"/>
  <c r="O16" i="40" s="1" a="1"/>
  <c r="O16" i="40" s="1"/>
  <c r="AB124" i="40"/>
  <c r="AA124" i="40" s="1"/>
  <c r="L124" i="40" s="1"/>
  <c r="AD124" i="40"/>
  <c r="N124" i="40" s="1" a="1"/>
  <c r="N124" i="40" s="1"/>
  <c r="AE124" i="40"/>
  <c r="O124" i="40" s="1" a="1"/>
  <c r="O124" i="40" s="1"/>
  <c r="AC125" i="40"/>
  <c r="U125" i="40" s="1"/>
  <c r="AC149" i="40" l="1"/>
  <c r="U149" i="40" s="1"/>
  <c r="AB148" i="40"/>
  <c r="AA148" i="40" s="1"/>
  <c r="L148" i="40" s="1"/>
  <c r="AD148" i="40"/>
  <c r="N148" i="40" s="1" a="1"/>
  <c r="N148" i="40" s="1"/>
  <c r="AE148" i="40"/>
  <c r="O148" i="40" s="1" a="1"/>
  <c r="O148" i="40" s="1"/>
  <c r="AC89" i="40"/>
  <c r="U89" i="40" s="1"/>
  <c r="AB88" i="40"/>
  <c r="AA88" i="40" s="1"/>
  <c r="L88" i="40" s="1"/>
  <c r="AD88" i="40"/>
  <c r="N88" i="40" s="1" a="1"/>
  <c r="N88" i="40" s="1"/>
  <c r="AE88" i="40"/>
  <c r="O88" i="40" s="1" a="1"/>
  <c r="O88" i="40" s="1"/>
  <c r="AB136" i="40"/>
  <c r="AA136" i="40" s="1"/>
  <c r="L136" i="40" s="1"/>
  <c r="AD136" i="40"/>
  <c r="N136" i="40" s="1" a="1"/>
  <c r="N136" i="40" s="1"/>
  <c r="AE136" i="40"/>
  <c r="O136" i="40" s="1" a="1"/>
  <c r="O136" i="40" s="1"/>
  <c r="AC137" i="40"/>
  <c r="U137" i="40" s="1"/>
  <c r="M92" i="13" l="1"/>
  <c r="D92" i="13" s="1"/>
  <c r="C43" i="35" s="1"/>
  <c r="M88" i="13"/>
  <c r="D88" i="13" s="1"/>
  <c r="C39" i="35" s="1"/>
  <c r="E21" i="36"/>
  <c r="E17" i="36"/>
  <c r="E16" i="36"/>
  <c r="D63" i="13"/>
  <c r="C14" i="35" s="1"/>
  <c r="C63" i="13"/>
  <c r="B14" i="35" s="1"/>
  <c r="E14" i="35" s="1"/>
  <c r="C59" i="13"/>
  <c r="B10" i="35" s="1"/>
  <c r="E10" i="35" s="1"/>
  <c r="D59" i="13"/>
  <c r="C10" i="35" s="1"/>
  <c r="AC10" i="34"/>
  <c r="AC11" i="34"/>
  <c r="AC12" i="34"/>
  <c r="AC16" i="34"/>
  <c r="AC18" i="34"/>
  <c r="J15" i="34"/>
  <c r="Q15" i="34"/>
  <c r="D125" i="13"/>
  <c r="D17" i="34"/>
  <c r="B17" i="34" s="1"/>
  <c r="C125" i="13" s="1"/>
  <c r="D16" i="12"/>
  <c r="Q13" i="34"/>
  <c r="Q17" i="34"/>
  <c r="Q7" i="34"/>
  <c r="Q8" i="34"/>
  <c r="Q9" i="34"/>
  <c r="Q10" i="34"/>
  <c r="Q11" i="34"/>
  <c r="Q12" i="34"/>
  <c r="Q14" i="34"/>
  <c r="Q16" i="34"/>
  <c r="Q6" i="34"/>
  <c r="J17" i="34"/>
  <c r="K17" i="34"/>
  <c r="C92" i="13" l="1"/>
  <c r="B43" i="35" s="1"/>
  <c r="E43" i="35" s="1"/>
  <c r="C88" i="13"/>
  <c r="B39" i="35" s="1"/>
  <c r="E39" i="35" s="1"/>
  <c r="J9" i="34"/>
  <c r="J8" i="34"/>
  <c r="J7" i="34"/>
  <c r="J6" i="34"/>
  <c r="J16" i="34"/>
  <c r="J14" i="34"/>
  <c r="J13" i="34"/>
  <c r="I12" i="33" l="1"/>
  <c r="K6" i="33" l="1"/>
  <c r="D45" i="13" l="1"/>
  <c r="D46" i="13"/>
  <c r="D47" i="13"/>
  <c r="D48" i="13"/>
  <c r="D49" i="13"/>
  <c r="D50" i="13"/>
  <c r="D51" i="13"/>
  <c r="D52" i="13"/>
  <c r="C51" i="13"/>
  <c r="C52" i="13"/>
  <c r="C46" i="13"/>
  <c r="C47" i="13"/>
  <c r="C48" i="13"/>
  <c r="C49" i="13"/>
  <c r="C50" i="13"/>
  <c r="C45" i="13"/>
  <c r="AB78" i="27"/>
  <c r="AB71" i="27"/>
  <c r="AB64" i="27"/>
  <c r="AB57" i="27"/>
  <c r="L53" i="27"/>
  <c r="L51" i="27"/>
  <c r="AB50" i="27"/>
  <c r="S50" i="27" s="1"/>
  <c r="L48" i="27"/>
  <c r="L46" i="27"/>
  <c r="L44" i="27"/>
  <c r="AB43" i="27"/>
  <c r="S43" i="27" s="1"/>
  <c r="L41" i="27"/>
  <c r="L39" i="27"/>
  <c r="L37" i="27"/>
  <c r="AB36" i="27"/>
  <c r="L34" i="27"/>
  <c r="L32" i="27"/>
  <c r="L30" i="27"/>
  <c r="AB29" i="27"/>
  <c r="L27" i="27"/>
  <c r="AB8" i="27"/>
  <c r="AB22" i="27"/>
  <c r="AB15" i="27"/>
  <c r="L6" i="27"/>
  <c r="M150" i="22"/>
  <c r="M141" i="22"/>
  <c r="M132" i="22"/>
  <c r="M123" i="22"/>
  <c r="M114" i="22"/>
  <c r="M105" i="22"/>
  <c r="M96" i="22"/>
  <c r="M90" i="22"/>
  <c r="M74" i="22"/>
  <c r="M68" i="22"/>
  <c r="M62" i="22"/>
  <c r="M56" i="22"/>
  <c r="M50" i="22"/>
  <c r="M44" i="22"/>
  <c r="M38" i="22"/>
  <c r="M32" i="22"/>
  <c r="M26" i="22"/>
  <c r="M20" i="22"/>
  <c r="M14" i="22"/>
  <c r="AA10" i="34"/>
  <c r="AA26" i="34"/>
  <c r="D114" i="13"/>
  <c r="D115" i="13"/>
  <c r="D116" i="13"/>
  <c r="D117" i="13"/>
  <c r="D118" i="13"/>
  <c r="D119" i="13"/>
  <c r="D120" i="13"/>
  <c r="D121" i="13"/>
  <c r="D122" i="13"/>
  <c r="D123" i="13"/>
  <c r="D124" i="13"/>
  <c r="D7" i="34"/>
  <c r="B7" i="34" s="1"/>
  <c r="C115" i="13" s="1"/>
  <c r="D8" i="34"/>
  <c r="B8" i="34" s="1"/>
  <c r="C116" i="13" s="1"/>
  <c r="D9" i="34"/>
  <c r="B9" i="34" s="1"/>
  <c r="C117" i="13" s="1"/>
  <c r="D10" i="34"/>
  <c r="B10" i="34" s="1"/>
  <c r="C118" i="13" s="1"/>
  <c r="D11" i="34"/>
  <c r="B11" i="34" s="1"/>
  <c r="C119" i="13" s="1"/>
  <c r="D12" i="34"/>
  <c r="B12" i="34" s="1"/>
  <c r="C120" i="13" s="1"/>
  <c r="D13" i="34"/>
  <c r="B13" i="34" s="1"/>
  <c r="C121" i="13" s="1"/>
  <c r="D14" i="34"/>
  <c r="B14" i="34" s="1"/>
  <c r="C122" i="13" s="1"/>
  <c r="D15" i="34"/>
  <c r="B15" i="34" s="1"/>
  <c r="C123" i="13" s="1"/>
  <c r="D16" i="34"/>
  <c r="B16" i="34" s="1"/>
  <c r="C124" i="13" s="1"/>
  <c r="D6" i="34"/>
  <c r="B6" i="34" s="1"/>
  <c r="C114" i="13" s="1"/>
  <c r="U6" i="34"/>
  <c r="T6" i="34"/>
  <c r="S6" i="34"/>
  <c r="T38" i="35"/>
  <c r="C292" i="36"/>
  <c r="F291" i="36"/>
  <c r="C291" i="36"/>
  <c r="E290" i="36"/>
  <c r="C290" i="36"/>
  <c r="F289" i="36"/>
  <c r="C289" i="36"/>
  <c r="F288" i="36"/>
  <c r="C288" i="36"/>
  <c r="F287" i="36"/>
  <c r="C287" i="36"/>
  <c r="F286" i="36"/>
  <c r="C286" i="36"/>
  <c r="F285" i="36"/>
  <c r="C285" i="36"/>
  <c r="F284" i="36"/>
  <c r="C284" i="36"/>
  <c r="E283" i="36"/>
  <c r="F283" i="36" s="1"/>
  <c r="C283" i="36"/>
  <c r="F282" i="36"/>
  <c r="C282" i="36"/>
  <c r="F278" i="36"/>
  <c r="F277" i="36"/>
  <c r="F276" i="36"/>
  <c r="F275" i="36"/>
  <c r="F274" i="36"/>
  <c r="F273" i="36"/>
  <c r="F272" i="36"/>
  <c r="F271" i="36"/>
  <c r="F270" i="36"/>
  <c r="F269" i="36"/>
  <c r="F268" i="36"/>
  <c r="F267" i="36"/>
  <c r="F266" i="36"/>
  <c r="F260" i="36"/>
  <c r="E260" i="36"/>
  <c r="C260" i="36"/>
  <c r="F259" i="36"/>
  <c r="E259" i="36"/>
  <c r="D259" i="36"/>
  <c r="C259" i="36"/>
  <c r="F258" i="36"/>
  <c r="E258" i="36"/>
  <c r="D258" i="36"/>
  <c r="C258" i="36"/>
  <c r="F257" i="36"/>
  <c r="E257" i="36"/>
  <c r="D257" i="36"/>
  <c r="C257" i="36"/>
  <c r="F256" i="36"/>
  <c r="E256" i="36"/>
  <c r="D256" i="36"/>
  <c r="C256" i="36"/>
  <c r="F255" i="36"/>
  <c r="E255" i="36"/>
  <c r="D255" i="36"/>
  <c r="C255" i="36"/>
  <c r="F253" i="36"/>
  <c r="E253" i="36"/>
  <c r="C253" i="36"/>
  <c r="F252" i="36"/>
  <c r="E252" i="36"/>
  <c r="D252" i="36"/>
  <c r="C252" i="36"/>
  <c r="F251" i="36"/>
  <c r="E251" i="36"/>
  <c r="D251" i="36"/>
  <c r="C251" i="36"/>
  <c r="F250" i="36"/>
  <c r="E250" i="36"/>
  <c r="D250" i="36"/>
  <c r="C250" i="36"/>
  <c r="F249" i="36"/>
  <c r="E249" i="36"/>
  <c r="D249" i="36"/>
  <c r="C249" i="36"/>
  <c r="F248" i="36"/>
  <c r="E248" i="36"/>
  <c r="D248" i="36"/>
  <c r="C248" i="36"/>
  <c r="F245" i="36"/>
  <c r="F244" i="36"/>
  <c r="F233" i="36"/>
  <c r="E233" i="36"/>
  <c r="D233" i="36"/>
  <c r="C233" i="36"/>
  <c r="F232" i="36"/>
  <c r="E232" i="36"/>
  <c r="D232" i="36"/>
  <c r="C232" i="36"/>
  <c r="E229" i="36"/>
  <c r="C229" i="36"/>
  <c r="F228" i="36"/>
  <c r="E228" i="36"/>
  <c r="D228" i="36"/>
  <c r="C228" i="36"/>
  <c r="F227" i="36"/>
  <c r="E227" i="36"/>
  <c r="C227" i="36"/>
  <c r="F226" i="36"/>
  <c r="E226" i="36"/>
  <c r="D226" i="36"/>
  <c r="C226" i="36"/>
  <c r="F225" i="36"/>
  <c r="AF108" i="36" s="1"/>
  <c r="E225" i="36"/>
  <c r="C225" i="36"/>
  <c r="H226" i="36" s="1"/>
  <c r="F224" i="36"/>
  <c r="AF107" i="36" s="1"/>
  <c r="E224" i="36"/>
  <c r="J225" i="36" s="1"/>
  <c r="D224" i="36"/>
  <c r="I225" i="36" s="1"/>
  <c r="C224" i="36"/>
  <c r="H221" i="36"/>
  <c r="G221" i="36"/>
  <c r="F221" i="36"/>
  <c r="E221" i="36"/>
  <c r="H220" i="36"/>
  <c r="G220" i="36"/>
  <c r="F220" i="36"/>
  <c r="E220" i="36"/>
  <c r="E243" i="36" s="1"/>
  <c r="E245" i="36" s="1"/>
  <c r="H219" i="36"/>
  <c r="G219" i="36"/>
  <c r="F219" i="36"/>
  <c r="H218" i="36"/>
  <c r="E234" i="36" s="1"/>
  <c r="G218" i="36"/>
  <c r="F218" i="36"/>
  <c r="E205" i="36"/>
  <c r="F202" i="36"/>
  <c r="J198" i="36"/>
  <c r="E203" i="36" s="1"/>
  <c r="E196" i="36"/>
  <c r="C187" i="36"/>
  <c r="D185" i="36"/>
  <c r="C185" i="36"/>
  <c r="E183" i="36"/>
  <c r="D183" i="36"/>
  <c r="C183" i="36"/>
  <c r="J180" i="36"/>
  <c r="C186" i="36" s="1"/>
  <c r="F187" i="36"/>
  <c r="F180" i="36"/>
  <c r="F198" i="36" s="1"/>
  <c r="E180" i="36"/>
  <c r="E198" i="36" s="1"/>
  <c r="F179" i="36"/>
  <c r="F197" i="36" s="1"/>
  <c r="E179" i="36"/>
  <c r="E197" i="36" s="1"/>
  <c r="F178" i="36"/>
  <c r="F196" i="36" s="1"/>
  <c r="E178" i="36"/>
  <c r="F177" i="36"/>
  <c r="F195" i="36" s="1"/>
  <c r="E177" i="36"/>
  <c r="E195" i="36" s="1"/>
  <c r="F176" i="36"/>
  <c r="F194" i="36" s="1"/>
  <c r="E176" i="36"/>
  <c r="E194" i="36"/>
  <c r="F175" i="36"/>
  <c r="F193" i="36" s="1"/>
  <c r="E175" i="36"/>
  <c r="E193" i="36" s="1"/>
  <c r="E213" i="36" s="1"/>
  <c r="E219" i="36" s="1"/>
  <c r="F174" i="36"/>
  <c r="F192" i="36" s="1"/>
  <c r="E174" i="36"/>
  <c r="E192" i="36" s="1"/>
  <c r="E212" i="36" s="1"/>
  <c r="E218" i="36" s="1"/>
  <c r="E169" i="36"/>
  <c r="C169" i="36"/>
  <c r="F168" i="36"/>
  <c r="E168" i="36"/>
  <c r="D168" i="36"/>
  <c r="C168" i="36"/>
  <c r="F167" i="36"/>
  <c r="E167" i="36"/>
  <c r="C167" i="36"/>
  <c r="F166" i="36"/>
  <c r="E166" i="36"/>
  <c r="D166" i="36"/>
  <c r="C166" i="36"/>
  <c r="F165" i="36"/>
  <c r="E165" i="36"/>
  <c r="C165" i="36"/>
  <c r="F164" i="36"/>
  <c r="E164" i="36"/>
  <c r="D164" i="36"/>
  <c r="C164" i="36"/>
  <c r="F141" i="36"/>
  <c r="E141" i="36"/>
  <c r="C141" i="36"/>
  <c r="F140" i="36"/>
  <c r="E140" i="36"/>
  <c r="D140" i="36"/>
  <c r="C140" i="36"/>
  <c r="E139" i="36"/>
  <c r="C139" i="36"/>
  <c r="F138" i="36"/>
  <c r="E138" i="36"/>
  <c r="C138" i="36"/>
  <c r="F137" i="36"/>
  <c r="E137" i="36"/>
  <c r="C137" i="36"/>
  <c r="F136" i="36"/>
  <c r="E136" i="36"/>
  <c r="C136" i="36"/>
  <c r="AF124" i="36"/>
  <c r="AE124" i="36"/>
  <c r="AC124" i="36"/>
  <c r="AP83" i="36"/>
  <c r="AF123" i="36"/>
  <c r="AE123" i="36"/>
  <c r="AD123" i="36"/>
  <c r="AC123" i="36"/>
  <c r="AM83" i="36"/>
  <c r="AF122" i="36"/>
  <c r="AE122" i="36"/>
  <c r="AD122" i="36"/>
  <c r="AC122" i="36"/>
  <c r="AO83" i="36" s="1"/>
  <c r="AF121" i="36"/>
  <c r="AE121" i="36"/>
  <c r="AD121" i="36"/>
  <c r="AC121" i="36"/>
  <c r="AL83" i="36" s="1"/>
  <c r="H121" i="36"/>
  <c r="G121" i="36"/>
  <c r="F121" i="36"/>
  <c r="E121" i="36"/>
  <c r="AF120" i="36"/>
  <c r="AE120" i="36"/>
  <c r="AQ83" i="36" s="1"/>
  <c r="AD120" i="36"/>
  <c r="AC120" i="36"/>
  <c r="H120" i="36"/>
  <c r="G120" i="36"/>
  <c r="F120" i="36"/>
  <c r="E120" i="36"/>
  <c r="AF119" i="36"/>
  <c r="AE119" i="36"/>
  <c r="AD119" i="36"/>
  <c r="AC119" i="36"/>
  <c r="H119" i="36"/>
  <c r="G119" i="36"/>
  <c r="F119" i="36"/>
  <c r="E119" i="36"/>
  <c r="AF118" i="36"/>
  <c r="AE118" i="36"/>
  <c r="AS82" i="36" s="1"/>
  <c r="AC118" i="36"/>
  <c r="H118" i="36"/>
  <c r="E148" i="36" s="1"/>
  <c r="G118" i="36"/>
  <c r="F118" i="36"/>
  <c r="E118" i="36"/>
  <c r="AF117" i="36"/>
  <c r="AE117" i="36"/>
  <c r="AD117" i="36"/>
  <c r="AC117" i="36"/>
  <c r="AM82" i="36" s="1"/>
  <c r="H117" i="36"/>
  <c r="AE83" i="36" s="1"/>
  <c r="G117" i="36"/>
  <c r="F117" i="36"/>
  <c r="E117" i="36"/>
  <c r="AF116" i="36"/>
  <c r="AE116" i="36"/>
  <c r="AR82" i="36" s="1"/>
  <c r="AD116" i="36"/>
  <c r="AC116" i="36"/>
  <c r="H116" i="36"/>
  <c r="C145" i="36" s="1"/>
  <c r="G116" i="36"/>
  <c r="F116" i="36"/>
  <c r="E116" i="36"/>
  <c r="AF115" i="36"/>
  <c r="AE115" i="36"/>
  <c r="AD115" i="36"/>
  <c r="AC115" i="36"/>
  <c r="H115" i="36"/>
  <c r="G115" i="36"/>
  <c r="F115" i="36"/>
  <c r="E115" i="36"/>
  <c r="AF114" i="36"/>
  <c r="AE114" i="36"/>
  <c r="AQ82" i="36" s="1"/>
  <c r="AD114" i="36"/>
  <c r="AC114" i="36"/>
  <c r="AN82" i="36" s="1"/>
  <c r="H114" i="36"/>
  <c r="C147" i="36" s="1"/>
  <c r="G114" i="36"/>
  <c r="F114" i="36"/>
  <c r="E114" i="36"/>
  <c r="AF113" i="36"/>
  <c r="AE113" i="36"/>
  <c r="AD113" i="36"/>
  <c r="AC113" i="36"/>
  <c r="AK82" i="36" s="1"/>
  <c r="H113" i="36"/>
  <c r="G113" i="36"/>
  <c r="F113" i="36"/>
  <c r="E113" i="36"/>
  <c r="H112" i="36"/>
  <c r="AE86" i="36" s="1"/>
  <c r="AR77" i="36" s="1"/>
  <c r="G112" i="36"/>
  <c r="F112" i="36"/>
  <c r="E112" i="36"/>
  <c r="H111" i="36"/>
  <c r="G111" i="36"/>
  <c r="F111" i="36"/>
  <c r="E111" i="36"/>
  <c r="AE110" i="36"/>
  <c r="AR81" i="36" s="1"/>
  <c r="AE109" i="36"/>
  <c r="AE108" i="36"/>
  <c r="AQ81" i="36" s="1"/>
  <c r="AC108" i="36"/>
  <c r="AN81" i="36" s="1"/>
  <c r="AE107" i="36"/>
  <c r="AC107" i="36"/>
  <c r="AK81" i="36" s="1"/>
  <c r="AF105" i="36"/>
  <c r="AC105" i="36"/>
  <c r="AM80" i="36" s="1"/>
  <c r="AC104" i="36"/>
  <c r="AO80" i="36" s="1"/>
  <c r="AE103" i="36"/>
  <c r="AD103" i="36"/>
  <c r="AE102" i="36"/>
  <c r="AF101" i="36"/>
  <c r="AC101" i="36"/>
  <c r="AK80" i="36" s="1"/>
  <c r="AE100" i="36"/>
  <c r="AC100" i="36"/>
  <c r="AP79" i="36" s="1"/>
  <c r="AF99" i="36"/>
  <c r="AE99" i="36"/>
  <c r="AD99" i="36"/>
  <c r="AC99" i="36"/>
  <c r="AF98" i="36"/>
  <c r="AE98" i="36"/>
  <c r="AC98" i="36"/>
  <c r="AF97" i="36"/>
  <c r="AE97" i="36"/>
  <c r="AD97" i="36"/>
  <c r="AC97" i="36"/>
  <c r="AE96" i="36"/>
  <c r="AQ79" i="36"/>
  <c r="AC96" i="36"/>
  <c r="AF95" i="36"/>
  <c r="AE95" i="36"/>
  <c r="AD95" i="36"/>
  <c r="AC95" i="36"/>
  <c r="AK79" i="36" s="1"/>
  <c r="AE94" i="36"/>
  <c r="AS78" i="36"/>
  <c r="AC94" i="36"/>
  <c r="AP78" i="36" s="1"/>
  <c r="AQ95" i="36"/>
  <c r="AQ96" i="36" s="1"/>
  <c r="AQ97" i="36" s="1"/>
  <c r="AF93" i="36"/>
  <c r="AE93" i="36"/>
  <c r="AD93" i="36"/>
  <c r="AC93" i="36"/>
  <c r="AM78" i="36" s="1"/>
  <c r="AS97" i="36"/>
  <c r="AF92" i="36"/>
  <c r="AE92" i="36"/>
  <c r="AC92" i="36"/>
  <c r="AS91" i="36"/>
  <c r="AS92" i="36" s="1"/>
  <c r="AS93" i="36" s="1"/>
  <c r="AS94" i="36" s="1"/>
  <c r="AS95" i="36" s="1"/>
  <c r="AS96" i="36" s="1"/>
  <c r="AR91" i="36"/>
  <c r="AR92" i="36" s="1"/>
  <c r="AR93" i="36" s="1"/>
  <c r="AR94" i="36" s="1"/>
  <c r="AR95" i="36" s="1"/>
  <c r="AR96" i="36" s="1"/>
  <c r="AR97" i="36" s="1"/>
  <c r="AQ91" i="36"/>
  <c r="AQ92" i="36" s="1"/>
  <c r="AQ93" i="36" s="1"/>
  <c r="AQ94" i="36" s="1"/>
  <c r="AP91" i="36"/>
  <c r="AP92" i="36" s="1"/>
  <c r="AP93" i="36" s="1"/>
  <c r="AP94" i="36" s="1"/>
  <c r="AP95" i="36" s="1"/>
  <c r="AP96" i="36" s="1"/>
  <c r="AP97" i="36" s="1"/>
  <c r="AO91" i="36"/>
  <c r="AO92" i="36" s="1"/>
  <c r="AO93" i="36" s="1"/>
  <c r="AO94" i="36" s="1"/>
  <c r="AO95" i="36" s="1"/>
  <c r="AO96" i="36" s="1"/>
  <c r="AO97" i="36" s="1"/>
  <c r="AN91" i="36"/>
  <c r="AN92" i="36" s="1"/>
  <c r="AN93" i="36" s="1"/>
  <c r="AN94" i="36" s="1"/>
  <c r="AN95" i="36" s="1"/>
  <c r="AN96" i="36" s="1"/>
  <c r="AN97" i="36" s="1"/>
  <c r="AF91" i="36"/>
  <c r="AE91" i="36"/>
  <c r="AD91" i="36"/>
  <c r="AC91" i="36"/>
  <c r="AL78" i="36" s="1"/>
  <c r="G91" i="36"/>
  <c r="H91" i="36" s="1"/>
  <c r="AF90" i="36"/>
  <c r="AE90" i="36"/>
  <c r="AQ78" i="36" s="1"/>
  <c r="AC90" i="36"/>
  <c r="AN78" i="36" s="1"/>
  <c r="G90" i="36"/>
  <c r="H90" i="36" s="1"/>
  <c r="AF89" i="36"/>
  <c r="AE89" i="36"/>
  <c r="AD89" i="36"/>
  <c r="AC89" i="36"/>
  <c r="H89" i="36"/>
  <c r="G89" i="36"/>
  <c r="G56" i="36" s="1"/>
  <c r="G88" i="36"/>
  <c r="H88" i="36"/>
  <c r="H55" i="36" s="1"/>
  <c r="AF87" i="36"/>
  <c r="G87" i="36"/>
  <c r="G86" i="36"/>
  <c r="H86" i="36" s="1"/>
  <c r="G84" i="36"/>
  <c r="AS83" i="36"/>
  <c r="AR83" i="36"/>
  <c r="AN83" i="36"/>
  <c r="AK83" i="36"/>
  <c r="G83" i="36"/>
  <c r="H83" i="36" s="1"/>
  <c r="I105" i="36" s="1"/>
  <c r="D138" i="36" s="1"/>
  <c r="AP82" i="36"/>
  <c r="AO82" i="36"/>
  <c r="AL82" i="36"/>
  <c r="AF82" i="36"/>
  <c r="AE82" i="36"/>
  <c r="AC82" i="36"/>
  <c r="AP76" i="36" s="1"/>
  <c r="G82" i="36"/>
  <c r="G49" i="36" s="1"/>
  <c r="AF81" i="36"/>
  <c r="AE81" i="36"/>
  <c r="AD81" i="36"/>
  <c r="AC81" i="36"/>
  <c r="AM76" i="36"/>
  <c r="G81" i="36"/>
  <c r="AQ80" i="36"/>
  <c r="AE80" i="36"/>
  <c r="AC80" i="36"/>
  <c r="R80" i="36"/>
  <c r="G80" i="36"/>
  <c r="H80" i="36" s="1"/>
  <c r="H47" i="36" s="1"/>
  <c r="AS79" i="36"/>
  <c r="AR79" i="36"/>
  <c r="AO79" i="36"/>
  <c r="AN79" i="36"/>
  <c r="AM79" i="36"/>
  <c r="AL79" i="36"/>
  <c r="AF79" i="36"/>
  <c r="AE79" i="36"/>
  <c r="AC79" i="36"/>
  <c r="AL76" i="36" s="1"/>
  <c r="R79" i="36"/>
  <c r="P79" i="36"/>
  <c r="H79" i="36"/>
  <c r="I101" i="36" s="1"/>
  <c r="G79" i="36"/>
  <c r="G46" i="36" s="1"/>
  <c r="AR78" i="36"/>
  <c r="AO78" i="36"/>
  <c r="AK78" i="36"/>
  <c r="AF78" i="36"/>
  <c r="AE78" i="36"/>
  <c r="AQ76" i="36" s="1"/>
  <c r="AC78" i="36"/>
  <c r="G78" i="36"/>
  <c r="H78" i="36" s="1"/>
  <c r="AF77" i="36"/>
  <c r="AE77" i="36"/>
  <c r="AC77" i="36"/>
  <c r="AK76" i="36" s="1"/>
  <c r="AS76" i="36"/>
  <c r="AR76" i="36"/>
  <c r="AO76" i="36"/>
  <c r="G58" i="36"/>
  <c r="G57" i="36"/>
  <c r="G47" i="36"/>
  <c r="E41" i="36"/>
  <c r="M83" i="13" s="1"/>
  <c r="E40" i="36"/>
  <c r="M82" i="13" s="1"/>
  <c r="D82" i="13" s="1"/>
  <c r="C33" i="35" s="1"/>
  <c r="E39" i="36"/>
  <c r="M81" i="13" s="1"/>
  <c r="E38" i="36"/>
  <c r="M80" i="13" s="1"/>
  <c r="D80" i="13" s="1"/>
  <c r="C31" i="35" s="1"/>
  <c r="E37" i="36"/>
  <c r="M79" i="13" s="1"/>
  <c r="D79" i="13" s="1"/>
  <c r="C30" i="35" s="1"/>
  <c r="E36" i="36"/>
  <c r="M78" i="13" s="1"/>
  <c r="D78" i="13" s="1"/>
  <c r="C29" i="35" s="1"/>
  <c r="E35" i="36"/>
  <c r="M77" i="13" s="1"/>
  <c r="E34" i="36"/>
  <c r="M76" i="13" s="1"/>
  <c r="D76" i="13" s="1"/>
  <c r="C27" i="35" s="1"/>
  <c r="E33" i="36"/>
  <c r="M75" i="13" s="1"/>
  <c r="M104" i="13" s="1"/>
  <c r="C104" i="13" s="1"/>
  <c r="B55" i="35" s="1"/>
  <c r="E55" i="35" s="1"/>
  <c r="E32" i="36"/>
  <c r="M74" i="13" s="1"/>
  <c r="C74" i="13" s="1"/>
  <c r="B25" i="35" s="1"/>
  <c r="E25" i="35" s="1"/>
  <c r="E31" i="36"/>
  <c r="M73" i="13" s="1"/>
  <c r="E30" i="36"/>
  <c r="M72" i="13" s="1"/>
  <c r="D72" i="13" s="1"/>
  <c r="C23" i="35" s="1"/>
  <c r="E29" i="36"/>
  <c r="M71" i="13" s="1"/>
  <c r="E28" i="36"/>
  <c r="M70" i="13" s="1"/>
  <c r="D70" i="13" s="1"/>
  <c r="C21" i="35" s="1"/>
  <c r="E27" i="36"/>
  <c r="M69" i="13" s="1"/>
  <c r="E26" i="36"/>
  <c r="M68" i="13" s="1"/>
  <c r="E25" i="36"/>
  <c r="M67" i="13" s="1"/>
  <c r="D67" i="13" s="1"/>
  <c r="C18" i="35" s="1"/>
  <c r="E24" i="36"/>
  <c r="M66" i="13" s="1"/>
  <c r="E23" i="36"/>
  <c r="M65" i="13" s="1"/>
  <c r="E22" i="36"/>
  <c r="M64" i="13" s="1"/>
  <c r="E20" i="36"/>
  <c r="M62" i="13" s="1"/>
  <c r="D62" i="13" s="1"/>
  <c r="C13" i="35" s="1"/>
  <c r="E19" i="36"/>
  <c r="M61" i="13" s="1"/>
  <c r="C61" i="13" s="1"/>
  <c r="B12" i="35" s="1"/>
  <c r="E12" i="35" s="1"/>
  <c r="E18" i="36"/>
  <c r="M60" i="13" s="1"/>
  <c r="M89" i="13" s="1"/>
  <c r="M58" i="13"/>
  <c r="D58" i="13" s="1"/>
  <c r="C9" i="35" s="1"/>
  <c r="E15" i="36"/>
  <c r="M57" i="13" s="1"/>
  <c r="E14" i="36"/>
  <c r="M56" i="13" s="1"/>
  <c r="D56" i="13" s="1"/>
  <c r="C7" i="35" s="1"/>
  <c r="E13" i="36"/>
  <c r="M55" i="13" s="1"/>
  <c r="M84" i="13" s="1"/>
  <c r="H87" i="36"/>
  <c r="G54" i="36"/>
  <c r="G55" i="36"/>
  <c r="I86" i="36"/>
  <c r="F290" i="36"/>
  <c r="G85" i="36"/>
  <c r="H46" i="36"/>
  <c r="I79" i="36"/>
  <c r="I46" i="36" s="1"/>
  <c r="H82" i="36"/>
  <c r="I82" i="36" s="1"/>
  <c r="I49" i="36" s="1"/>
  <c r="I161" i="36"/>
  <c r="I180" i="36" s="1"/>
  <c r="C234" i="36"/>
  <c r="AC109" i="36" s="1"/>
  <c r="AL81" i="36" s="1"/>
  <c r="K226" i="36"/>
  <c r="C148" i="36"/>
  <c r="F148" i="36"/>
  <c r="AD87" i="36"/>
  <c r="E149" i="36"/>
  <c r="D206" i="36"/>
  <c r="D204" i="36"/>
  <c r="D202" i="36"/>
  <c r="AE105" i="36"/>
  <c r="AF104" i="36"/>
  <c r="AC103" i="36"/>
  <c r="AL80" i="36" s="1"/>
  <c r="AE101" i="36"/>
  <c r="C207" i="36"/>
  <c r="C206" i="36"/>
  <c r="C205" i="36"/>
  <c r="C204" i="36"/>
  <c r="C203" i="36"/>
  <c r="C202" i="36"/>
  <c r="AC106" i="36"/>
  <c r="AP80" i="36"/>
  <c r="AD105" i="36"/>
  <c r="AE104" i="36"/>
  <c r="AR80" i="36" s="1"/>
  <c r="AF103" i="36"/>
  <c r="AC102" i="36"/>
  <c r="AN80" i="36" s="1"/>
  <c r="AD101" i="36"/>
  <c r="F205" i="36"/>
  <c r="E235" i="36"/>
  <c r="J228" i="36" s="1"/>
  <c r="D148" i="36"/>
  <c r="E202" i="36"/>
  <c r="E204" i="36"/>
  <c r="E206" i="36"/>
  <c r="K225" i="36"/>
  <c r="F145" i="36"/>
  <c r="E184" i="36"/>
  <c r="E185" i="36"/>
  <c r="E186" i="36"/>
  <c r="E187" i="36"/>
  <c r="E188" i="36"/>
  <c r="C236" i="36"/>
  <c r="C237" i="36"/>
  <c r="F183" i="36"/>
  <c r="F185" i="36"/>
  <c r="F186" i="36"/>
  <c r="D236" i="36"/>
  <c r="D6" i="12"/>
  <c r="D7" i="12"/>
  <c r="D8" i="12"/>
  <c r="D9" i="12"/>
  <c r="D10" i="12"/>
  <c r="D11" i="12"/>
  <c r="D12" i="12"/>
  <c r="D13" i="12"/>
  <c r="D14" i="12"/>
  <c r="D15" i="12"/>
  <c r="D5" i="12"/>
  <c r="T23" i="35"/>
  <c r="T25" i="35" s="1"/>
  <c r="U18" i="35"/>
  <c r="I159" i="36"/>
  <c r="I160" i="36" s="1"/>
  <c r="I179" i="36" s="1"/>
  <c r="I197" i="36" s="1"/>
  <c r="H54" i="36"/>
  <c r="I87" i="36"/>
  <c r="I54" i="36" s="1"/>
  <c r="I112" i="36"/>
  <c r="I156" i="36"/>
  <c r="G52" i="36"/>
  <c r="AD92" i="36"/>
  <c r="AA19" i="34"/>
  <c r="AA11" i="34"/>
  <c r="AA18" i="34"/>
  <c r="L18" i="27"/>
  <c r="L16" i="27"/>
  <c r="L13" i="27"/>
  <c r="L23" i="27"/>
  <c r="L11" i="27"/>
  <c r="L25" i="27"/>
  <c r="L20" i="27"/>
  <c r="D9" i="11"/>
  <c r="O7" i="33"/>
  <c r="O6" i="33"/>
  <c r="M6" i="33"/>
  <c r="M7" i="33"/>
  <c r="K7" i="33"/>
  <c r="J8" i="33" s="1"/>
  <c r="AC33" i="34"/>
  <c r="AC34" i="34" s="1"/>
  <c r="AC36" i="34" s="1"/>
  <c r="K15" i="34" s="1"/>
  <c r="AC43" i="34"/>
  <c r="AC44" i="34"/>
  <c r="AC26" i="34"/>
  <c r="AA43" i="34"/>
  <c r="AA44" i="34"/>
  <c r="AA46" i="34" s="1"/>
  <c r="K7" i="34" s="1"/>
  <c r="AC20" i="34"/>
  <c r="AC21" i="34" s="1"/>
  <c r="AA33" i="34"/>
  <c r="AA34" i="34" s="1"/>
  <c r="AA36" i="34"/>
  <c r="AA37" i="34" s="1"/>
  <c r="AA20" i="34"/>
  <c r="AA29" i="34" s="1"/>
  <c r="AA21" i="34"/>
  <c r="AA28" i="34" s="1"/>
  <c r="AC19" i="34"/>
  <c r="AC13" i="34"/>
  <c r="AC14" i="34" s="1"/>
  <c r="D10" i="11"/>
  <c r="S41" i="22"/>
  <c r="S39" i="22"/>
  <c r="S57" i="22"/>
  <c r="S15" i="22"/>
  <c r="O25" i="27"/>
  <c r="L9" i="27"/>
  <c r="C16" i="13"/>
  <c r="AF71" i="22"/>
  <c r="AI71" i="22" s="1"/>
  <c r="AF70" i="22"/>
  <c r="AI70" i="22" s="1"/>
  <c r="AF69" i="22"/>
  <c r="AI69" i="22" s="1"/>
  <c r="AF66" i="22"/>
  <c r="AI66" i="22" s="1"/>
  <c r="AF75" i="22"/>
  <c r="AI75" i="22" s="1"/>
  <c r="AF72" i="22"/>
  <c r="AI72" i="22" s="1"/>
  <c r="D16" i="13"/>
  <c r="D17" i="13"/>
  <c r="C17" i="13"/>
  <c r="AF77" i="22"/>
  <c r="AI77" i="22"/>
  <c r="AF76" i="22"/>
  <c r="AI76" i="22" s="1"/>
  <c r="Q75" i="22"/>
  <c r="R75" i="22" s="1"/>
  <c r="S72" i="22"/>
  <c r="D8" i="13"/>
  <c r="D9" i="13"/>
  <c r="C9" i="13"/>
  <c r="C8" i="13"/>
  <c r="AG29" i="22"/>
  <c r="AI29" i="22" s="1"/>
  <c r="AG28" i="22"/>
  <c r="AI28" i="22" s="1"/>
  <c r="AG27" i="22"/>
  <c r="AI27" i="22" s="1"/>
  <c r="AG24" i="22"/>
  <c r="AI24" i="22" s="1"/>
  <c r="AG23" i="22"/>
  <c r="AI23" i="22" s="1"/>
  <c r="AG22" i="22"/>
  <c r="AI22" i="22" s="1"/>
  <c r="AG21" i="22"/>
  <c r="AI21" i="22" s="1"/>
  <c r="AG18" i="22"/>
  <c r="AI18" i="22" s="1"/>
  <c r="Q144" i="22"/>
  <c r="R144" i="22" s="1"/>
  <c r="Q142" i="22"/>
  <c r="R142" i="22" s="1"/>
  <c r="S137" i="22"/>
  <c r="S121" i="22"/>
  <c r="S119" i="22"/>
  <c r="S103" i="22"/>
  <c r="AI65" i="22"/>
  <c r="AI64" i="22"/>
  <c r="L64" i="22"/>
  <c r="AJ64" i="22" s="1"/>
  <c r="AL64" i="22" s="1"/>
  <c r="N64" i="22" s="1"/>
  <c r="AI63" i="22"/>
  <c r="AI60" i="22"/>
  <c r="AI59" i="22"/>
  <c r="AI58" i="22"/>
  <c r="L58" i="22"/>
  <c r="AI57" i="22"/>
  <c r="AI54" i="22"/>
  <c r="D26" i="13"/>
  <c r="D27" i="13"/>
  <c r="D28" i="13"/>
  <c r="C28" i="13"/>
  <c r="C27" i="13"/>
  <c r="C26" i="13"/>
  <c r="D6" i="13"/>
  <c r="D7" i="13"/>
  <c r="D10" i="13"/>
  <c r="D11" i="13"/>
  <c r="D12" i="13"/>
  <c r="D13" i="13"/>
  <c r="D14" i="13"/>
  <c r="D15" i="13"/>
  <c r="D18" i="13"/>
  <c r="D19" i="13"/>
  <c r="D20" i="13"/>
  <c r="D21" i="13"/>
  <c r="D22" i="13"/>
  <c r="D23" i="13"/>
  <c r="D24" i="13"/>
  <c r="D25" i="13"/>
  <c r="C25" i="13"/>
  <c r="C24" i="13"/>
  <c r="C23" i="13"/>
  <c r="C22" i="13"/>
  <c r="C21" i="13"/>
  <c r="C20" i="13"/>
  <c r="C19" i="13"/>
  <c r="C18" i="13"/>
  <c r="C15" i="13"/>
  <c r="C14" i="13"/>
  <c r="C13" i="13"/>
  <c r="C12" i="13"/>
  <c r="C11" i="13"/>
  <c r="C10" i="13"/>
  <c r="C7" i="13"/>
  <c r="C6" i="13"/>
  <c r="AI53" i="22"/>
  <c r="L53" i="22"/>
  <c r="AJ53" i="22" s="1"/>
  <c r="AL53" i="22" s="1"/>
  <c r="N53" i="22" s="1"/>
  <c r="AI52" i="22"/>
  <c r="AI51" i="22"/>
  <c r="AI48" i="22"/>
  <c r="AI47" i="22"/>
  <c r="AI46" i="22"/>
  <c r="AI45" i="22"/>
  <c r="AI41" i="22"/>
  <c r="AI40" i="22"/>
  <c r="AI39" i="22"/>
  <c r="AI36" i="22"/>
  <c r="AI35" i="22"/>
  <c r="AI34" i="22"/>
  <c r="AI33" i="22"/>
  <c r="AI30" i="22"/>
  <c r="AG17" i="22"/>
  <c r="AI17" i="22" s="1"/>
  <c r="L17" i="22"/>
  <c r="AG16" i="22"/>
  <c r="AI16" i="22" s="1"/>
  <c r="L16" i="22"/>
  <c r="AG15" i="22"/>
  <c r="AI15" i="22" s="1"/>
  <c r="AG12" i="22"/>
  <c r="AI12" i="22"/>
  <c r="AG11" i="22"/>
  <c r="AI11" i="22" s="1"/>
  <c r="L11" i="22"/>
  <c r="AG10" i="22"/>
  <c r="AI10" i="22" s="1"/>
  <c r="AG9" i="22"/>
  <c r="AI9" i="22" s="1"/>
  <c r="AG6" i="22"/>
  <c r="AI6" i="22" s="1"/>
  <c r="S53" i="22"/>
  <c r="Q39" i="22"/>
  <c r="R39" i="22" s="1"/>
  <c r="S83" i="22"/>
  <c r="P120" i="32"/>
  <c r="S77" i="22" s="1"/>
  <c r="O120" i="32"/>
  <c r="N120" i="32"/>
  <c r="S135" i="22" s="1"/>
  <c r="M120" i="32"/>
  <c r="S6" i="22"/>
  <c r="V110" i="32"/>
  <c r="U111" i="32"/>
  <c r="S111" i="32"/>
  <c r="W51" i="32"/>
  <c r="U50" i="32"/>
  <c r="S51" i="32"/>
  <c r="S21" i="32"/>
  <c r="U20" i="32"/>
  <c r="V20" i="32"/>
  <c r="J11" i="32"/>
  <c r="L17" i="32"/>
  <c r="M17" i="32"/>
  <c r="N17" i="32"/>
  <c r="O17" i="32"/>
  <c r="P17" i="32"/>
  <c r="L18" i="32"/>
  <c r="M18" i="32"/>
  <c r="N18" i="32"/>
  <c r="O18" i="32"/>
  <c r="P18" i="32"/>
  <c r="L19" i="32"/>
  <c r="M19" i="32"/>
  <c r="N19" i="32"/>
  <c r="O19" i="32"/>
  <c r="P19" i="32"/>
  <c r="L20" i="32"/>
  <c r="S20" i="32" s="1"/>
  <c r="M20" i="32"/>
  <c r="T20" i="32" s="1"/>
  <c r="N20" i="32"/>
  <c r="O20" i="32"/>
  <c r="P20" i="32"/>
  <c r="W20" i="32" s="1"/>
  <c r="L21" i="32"/>
  <c r="L30" i="22" s="1"/>
  <c r="AJ30" i="22" s="1"/>
  <c r="AL30" i="22" s="1"/>
  <c r="M21" i="32"/>
  <c r="L33" i="22" s="1"/>
  <c r="N21" i="32"/>
  <c r="L34" i="22" s="1"/>
  <c r="AJ34" i="22" s="1"/>
  <c r="O21" i="32"/>
  <c r="V21" i="32" s="1"/>
  <c r="P21" i="32"/>
  <c r="W21" i="32" s="1"/>
  <c r="L24" i="32"/>
  <c r="Q30" i="22" s="1"/>
  <c r="R30" i="22" s="1"/>
  <c r="M24" i="32"/>
  <c r="Q33" i="22" s="1"/>
  <c r="R33" i="22" s="1"/>
  <c r="N24" i="32"/>
  <c r="Q34" i="22" s="1"/>
  <c r="R34" i="22" s="1"/>
  <c r="O24" i="32"/>
  <c r="P24" i="32"/>
  <c r="Q35" i="22" s="1"/>
  <c r="R35" i="22" s="1"/>
  <c r="L25" i="32"/>
  <c r="M25" i="32"/>
  <c r="N25" i="32"/>
  <c r="O25" i="32"/>
  <c r="P25" i="32"/>
  <c r="L26" i="32"/>
  <c r="M26" i="32"/>
  <c r="N26" i="32"/>
  <c r="O26" i="32"/>
  <c r="P26" i="32"/>
  <c r="L30" i="32"/>
  <c r="S30" i="22" s="1"/>
  <c r="M30" i="32"/>
  <c r="S33" i="22" s="1"/>
  <c r="N30" i="32"/>
  <c r="S34" i="22" s="1"/>
  <c r="O30" i="32"/>
  <c r="P30" i="32"/>
  <c r="S35" i="22" s="1"/>
  <c r="J41" i="32"/>
  <c r="L47" i="32"/>
  <c r="M47" i="32"/>
  <c r="N47" i="32"/>
  <c r="O47" i="32"/>
  <c r="P47" i="32"/>
  <c r="L48" i="32"/>
  <c r="M48" i="32"/>
  <c r="N48" i="32"/>
  <c r="O48" i="32"/>
  <c r="P48" i="32"/>
  <c r="L49" i="32"/>
  <c r="M49" i="32"/>
  <c r="N49" i="32"/>
  <c r="O49" i="32"/>
  <c r="P49" i="32"/>
  <c r="L50" i="32"/>
  <c r="S50" i="32" s="1"/>
  <c r="M50" i="32"/>
  <c r="T50" i="32" s="1"/>
  <c r="N50" i="32"/>
  <c r="O50" i="32"/>
  <c r="V50" i="32" s="1"/>
  <c r="P50" i="32"/>
  <c r="W50" i="32" s="1"/>
  <c r="L51" i="32"/>
  <c r="M51" i="32"/>
  <c r="N51" i="32"/>
  <c r="O51" i="32"/>
  <c r="V51" i="32" s="1"/>
  <c r="V52" i="32" s="1"/>
  <c r="P51" i="32"/>
  <c r="L71" i="22" s="1"/>
  <c r="L54" i="32"/>
  <c r="Q18" i="22" s="1"/>
  <c r="R18" i="22" s="1"/>
  <c r="M54" i="32"/>
  <c r="Q69" i="22" s="1"/>
  <c r="R69" i="22" s="1"/>
  <c r="N54" i="32"/>
  <c r="O54" i="32"/>
  <c r="P54" i="32"/>
  <c r="L55" i="32"/>
  <c r="M55" i="32"/>
  <c r="N55" i="32"/>
  <c r="O55" i="32"/>
  <c r="P55" i="32"/>
  <c r="L56" i="32"/>
  <c r="M56" i="32"/>
  <c r="N56" i="32"/>
  <c r="O56" i="32"/>
  <c r="P56" i="32"/>
  <c r="L60" i="32"/>
  <c r="S66" i="22" s="1"/>
  <c r="M60" i="32"/>
  <c r="N60" i="32"/>
  <c r="S99" i="22" s="1"/>
  <c r="O60" i="32"/>
  <c r="P60" i="32"/>
  <c r="S47" i="22" s="1"/>
  <c r="J71" i="32"/>
  <c r="L77" i="32"/>
  <c r="M77" i="32"/>
  <c r="N77" i="32"/>
  <c r="O77" i="32"/>
  <c r="P77" i="32"/>
  <c r="L78" i="32"/>
  <c r="M78" i="32"/>
  <c r="N78" i="32"/>
  <c r="O78" i="32"/>
  <c r="P78" i="32"/>
  <c r="L79" i="32"/>
  <c r="M79" i="32"/>
  <c r="N79" i="32"/>
  <c r="O79" i="32"/>
  <c r="P79" i="32"/>
  <c r="L80" i="32"/>
  <c r="M80" i="32"/>
  <c r="N80" i="32"/>
  <c r="O80" i="32"/>
  <c r="P80" i="32"/>
  <c r="L81" i="32"/>
  <c r="M81" i="32"/>
  <c r="N81" i="32"/>
  <c r="O81" i="32"/>
  <c r="P81" i="32"/>
  <c r="L84" i="32"/>
  <c r="M84" i="32"/>
  <c r="N84" i="32"/>
  <c r="O84" i="32"/>
  <c r="P84" i="32"/>
  <c r="L85" i="32"/>
  <c r="M85" i="32"/>
  <c r="N85" i="32"/>
  <c r="O85" i="32"/>
  <c r="P85" i="32"/>
  <c r="L86" i="32"/>
  <c r="M86" i="32"/>
  <c r="N86" i="32"/>
  <c r="O86" i="32"/>
  <c r="P86" i="32"/>
  <c r="L89" i="32"/>
  <c r="M89" i="32"/>
  <c r="N89" i="32"/>
  <c r="O89" i="32"/>
  <c r="P89" i="32"/>
  <c r="L90" i="32"/>
  <c r="M90" i="32"/>
  <c r="N90" i="32"/>
  <c r="O90" i="32"/>
  <c r="P90" i="32"/>
  <c r="J101" i="32"/>
  <c r="L107" i="32"/>
  <c r="M107" i="32"/>
  <c r="N107" i="32"/>
  <c r="O107" i="32"/>
  <c r="P107" i="32"/>
  <c r="L108" i="32"/>
  <c r="M108" i="32"/>
  <c r="N108" i="32"/>
  <c r="O108" i="32"/>
  <c r="P108" i="32"/>
  <c r="L109" i="32"/>
  <c r="M109" i="32"/>
  <c r="N109" i="32"/>
  <c r="O109" i="32"/>
  <c r="P109" i="32"/>
  <c r="L110" i="32"/>
  <c r="S110" i="32" s="1"/>
  <c r="M110" i="32"/>
  <c r="T110" i="32" s="1"/>
  <c r="N110" i="32"/>
  <c r="U110" i="32" s="1"/>
  <c r="O110" i="32"/>
  <c r="P110" i="32"/>
  <c r="W110" i="32" s="1"/>
  <c r="L111" i="32"/>
  <c r="M111" i="32"/>
  <c r="N111" i="32"/>
  <c r="L76" i="22" s="1"/>
  <c r="O111" i="32"/>
  <c r="V111" i="32" s="1"/>
  <c r="P111" i="32"/>
  <c r="W111" i="32" s="1"/>
  <c r="W112" i="32" s="1"/>
  <c r="L114" i="32"/>
  <c r="Q24" i="22" s="1"/>
  <c r="R24" i="22" s="1"/>
  <c r="M114" i="32"/>
  <c r="Q63" i="22" s="1"/>
  <c r="R63" i="22" s="1"/>
  <c r="N114" i="32"/>
  <c r="Q40" i="22" s="1"/>
  <c r="R40" i="22" s="1"/>
  <c r="O114" i="32"/>
  <c r="P114" i="32"/>
  <c r="L115" i="32"/>
  <c r="M115" i="32"/>
  <c r="N115" i="32"/>
  <c r="O115" i="32"/>
  <c r="P115" i="32"/>
  <c r="L116" i="32"/>
  <c r="M116" i="32"/>
  <c r="N116" i="32"/>
  <c r="O116" i="32"/>
  <c r="P116" i="32"/>
  <c r="J132" i="32"/>
  <c r="L138" i="32"/>
  <c r="M138" i="32"/>
  <c r="N138" i="32"/>
  <c r="O138" i="32"/>
  <c r="P138" i="32"/>
  <c r="L139" i="32"/>
  <c r="M139" i="32"/>
  <c r="N139" i="32"/>
  <c r="O139" i="32"/>
  <c r="P139" i="32"/>
  <c r="L140" i="32"/>
  <c r="M140" i="32"/>
  <c r="N140" i="32"/>
  <c r="O140" i="32"/>
  <c r="P140" i="32"/>
  <c r="L141" i="32"/>
  <c r="M141" i="32"/>
  <c r="N141" i="32"/>
  <c r="O141" i="32"/>
  <c r="P141" i="32"/>
  <c r="L142" i="32"/>
  <c r="M142" i="32"/>
  <c r="N142" i="32"/>
  <c r="O142" i="32"/>
  <c r="P142" i="32"/>
  <c r="L145" i="32"/>
  <c r="M145" i="32"/>
  <c r="N145" i="32"/>
  <c r="O145" i="32"/>
  <c r="P145" i="32"/>
  <c r="L146" i="32"/>
  <c r="M146" i="32"/>
  <c r="N146" i="32"/>
  <c r="O146" i="32"/>
  <c r="P146" i="32"/>
  <c r="L147" i="32"/>
  <c r="M147" i="32"/>
  <c r="N147" i="32"/>
  <c r="O147" i="32"/>
  <c r="P147" i="32"/>
  <c r="L150" i="32"/>
  <c r="M150" i="32"/>
  <c r="N150" i="32"/>
  <c r="O150" i="32"/>
  <c r="P150" i="32"/>
  <c r="L151" i="32"/>
  <c r="M151" i="32"/>
  <c r="N151" i="32"/>
  <c r="O151" i="32"/>
  <c r="P151" i="32"/>
  <c r="J162" i="32"/>
  <c r="L168" i="32"/>
  <c r="M168" i="32"/>
  <c r="N168" i="32"/>
  <c r="O168" i="32"/>
  <c r="P168" i="32"/>
  <c r="L169" i="32"/>
  <c r="M169" i="32"/>
  <c r="N169" i="32"/>
  <c r="O169" i="32"/>
  <c r="P169" i="32"/>
  <c r="L170" i="32"/>
  <c r="M170" i="32"/>
  <c r="N170" i="32"/>
  <c r="O170" i="32"/>
  <c r="P170" i="32"/>
  <c r="L171" i="32"/>
  <c r="S171" i="32" s="1"/>
  <c r="M171" i="32"/>
  <c r="T171" i="32" s="1"/>
  <c r="N171" i="32"/>
  <c r="U171" i="32" s="1"/>
  <c r="O171" i="32"/>
  <c r="V171" i="32" s="1"/>
  <c r="P171" i="32"/>
  <c r="W171" i="32" s="1"/>
  <c r="L172" i="32"/>
  <c r="S172" i="32" s="1"/>
  <c r="S173" i="32" s="1"/>
  <c r="M172" i="32"/>
  <c r="T172" i="32" s="1"/>
  <c r="N172" i="32"/>
  <c r="U172" i="32" s="1"/>
  <c r="U173" i="32" s="1"/>
  <c r="O172" i="32"/>
  <c r="V172" i="32" s="1"/>
  <c r="V173" i="32" s="1"/>
  <c r="P172" i="32"/>
  <c r="W172" i="32" s="1"/>
  <c r="W173" i="32" s="1"/>
  <c r="L175" i="32"/>
  <c r="M175" i="32"/>
  <c r="N175" i="32"/>
  <c r="O175" i="32"/>
  <c r="P175" i="32"/>
  <c r="L176" i="32"/>
  <c r="M176" i="32"/>
  <c r="N176" i="32"/>
  <c r="O176" i="32"/>
  <c r="P176" i="32"/>
  <c r="L177" i="32"/>
  <c r="M177" i="32"/>
  <c r="N177" i="32"/>
  <c r="O177" i="32"/>
  <c r="P177" i="32"/>
  <c r="L181" i="32"/>
  <c r="M181" i="32"/>
  <c r="N181" i="32"/>
  <c r="O181" i="32"/>
  <c r="P181" i="32"/>
  <c r="AA23" i="34"/>
  <c r="AA24" i="34" s="1"/>
  <c r="AA22" i="34"/>
  <c r="K10" i="34"/>
  <c r="K6" i="34"/>
  <c r="AA47" i="34"/>
  <c r="J10" i="34"/>
  <c r="AJ16" i="22" l="1"/>
  <c r="O16" i="22" s="1"/>
  <c r="AJ33" i="22"/>
  <c r="O33" i="22" s="1"/>
  <c r="S8" i="27"/>
  <c r="S78" i="27"/>
  <c r="S22" i="27"/>
  <c r="O39" i="35"/>
  <c r="R39" i="35" s="1"/>
  <c r="O43" i="35"/>
  <c r="R43" i="35" s="1"/>
  <c r="M10" i="35"/>
  <c r="M14" i="35"/>
  <c r="R14" i="35" s="1"/>
  <c r="M12" i="35"/>
  <c r="N12" i="35" s="1"/>
  <c r="D89" i="13"/>
  <c r="C89" i="13"/>
  <c r="T29" i="35"/>
  <c r="T33" i="35" s="1"/>
  <c r="T30" i="35"/>
  <c r="T34" i="35" s="1"/>
  <c r="D61" i="13"/>
  <c r="C12" i="35" s="1"/>
  <c r="M95" i="13"/>
  <c r="C95" i="13" s="1"/>
  <c r="B46" i="35" s="1"/>
  <c r="E46" i="35" s="1"/>
  <c r="C66" i="13"/>
  <c r="B17" i="35" s="1"/>
  <c r="E17" i="35" s="1"/>
  <c r="M17" i="35" s="1"/>
  <c r="N17" i="35" s="1"/>
  <c r="D66" i="13"/>
  <c r="C17" i="35" s="1"/>
  <c r="I106" i="36"/>
  <c r="H57" i="36"/>
  <c r="I90" i="36"/>
  <c r="H50" i="36"/>
  <c r="G50" i="36"/>
  <c r="AC46" i="34"/>
  <c r="Q84" i="22"/>
  <c r="R84" i="22" s="1"/>
  <c r="L47" i="22"/>
  <c r="AJ47" i="22" s="1"/>
  <c r="AL47" i="22" s="1"/>
  <c r="N47" i="22" s="1"/>
  <c r="L28" i="22"/>
  <c r="AJ28" i="22" s="1"/>
  <c r="H225" i="36"/>
  <c r="C144" i="36"/>
  <c r="H49" i="36"/>
  <c r="L48" i="22"/>
  <c r="AJ48" i="22" s="1"/>
  <c r="AL48" i="22" s="1"/>
  <c r="N48" i="22" s="1"/>
  <c r="O6" i="27"/>
  <c r="I104" i="36"/>
  <c r="I115" i="36" s="1"/>
  <c r="I88" i="36"/>
  <c r="I55" i="36" s="1"/>
  <c r="G45" i="36"/>
  <c r="C188" i="36"/>
  <c r="S71" i="27"/>
  <c r="L84" i="36"/>
  <c r="AE106" i="36"/>
  <c r="AS80" i="36" s="1"/>
  <c r="F144" i="36"/>
  <c r="AC83" i="36"/>
  <c r="AK77" i="36" s="1"/>
  <c r="AD107" i="36"/>
  <c r="S36" i="27"/>
  <c r="AD79" i="36"/>
  <c r="E145" i="36"/>
  <c r="I116" i="36"/>
  <c r="Q124" i="22"/>
  <c r="R124" i="22" s="1"/>
  <c r="AC29" i="34"/>
  <c r="I178" i="36"/>
  <c r="F188" i="36" s="1"/>
  <c r="Q90" i="22"/>
  <c r="R90" i="22" s="1"/>
  <c r="W22" i="32"/>
  <c r="AC84" i="36"/>
  <c r="AN77" i="36" s="1"/>
  <c r="U112" i="32"/>
  <c r="AE84" i="36"/>
  <c r="AQ77" i="36" s="1"/>
  <c r="AF83" i="36"/>
  <c r="AF84" i="36"/>
  <c r="M25" i="35"/>
  <c r="N25" i="35" s="1"/>
  <c r="V22" i="32"/>
  <c r="AC86" i="36"/>
  <c r="AO77" i="36" s="1"/>
  <c r="L66" i="22"/>
  <c r="AJ66" i="22" s="1"/>
  <c r="AL66" i="22" s="1"/>
  <c r="N66" i="22" s="1"/>
  <c r="L6" i="22"/>
  <c r="T173" i="32"/>
  <c r="L35" i="22"/>
  <c r="AJ35" i="22" s="1"/>
  <c r="AL35" i="22" s="1"/>
  <c r="H227" i="36"/>
  <c r="S112" i="32"/>
  <c r="K149" i="22" s="1"/>
  <c r="E144" i="36"/>
  <c r="O53" i="27"/>
  <c r="V112" i="32"/>
  <c r="K154" i="22" s="1"/>
  <c r="I83" i="36"/>
  <c r="I50" i="36" s="1"/>
  <c r="E146" i="36"/>
  <c r="S15" i="27"/>
  <c r="S57" i="27"/>
  <c r="AJ76" i="22"/>
  <c r="AL76" i="22" s="1"/>
  <c r="N76" i="22" s="1"/>
  <c r="AL42" i="22"/>
  <c r="N42" i="22" s="1"/>
  <c r="AJ58" i="22"/>
  <c r="AL58" i="22" s="1"/>
  <c r="N58" i="22" s="1"/>
  <c r="D75" i="13"/>
  <c r="C26" i="35" s="1"/>
  <c r="D74" i="13"/>
  <c r="C25" i="35" s="1"/>
  <c r="D104" i="13"/>
  <c r="C55" i="35" s="1"/>
  <c r="D95" i="13"/>
  <c r="C46" i="35" s="1"/>
  <c r="AJ71" i="22"/>
  <c r="AL71" i="22" s="1"/>
  <c r="N71" i="22" s="1"/>
  <c r="AJ11" i="22"/>
  <c r="AL11" i="22" s="1"/>
  <c r="O30" i="22"/>
  <c r="AJ17" i="22"/>
  <c r="AL17" i="22" s="1"/>
  <c r="AL33" i="22"/>
  <c r="S64" i="27"/>
  <c r="K118" i="22"/>
  <c r="K109" i="22"/>
  <c r="K100" i="22"/>
  <c r="K92" i="22"/>
  <c r="AL16" i="22"/>
  <c r="K129" i="22"/>
  <c r="K147" i="22"/>
  <c r="K138" i="22"/>
  <c r="K156" i="22"/>
  <c r="AL34" i="22"/>
  <c r="O34" i="22"/>
  <c r="K136" i="22"/>
  <c r="K127" i="22"/>
  <c r="S22" i="32"/>
  <c r="K140" i="22"/>
  <c r="K122" i="22"/>
  <c r="K131" i="22"/>
  <c r="Q77" i="22"/>
  <c r="R77" i="22" s="1"/>
  <c r="Q65" i="22"/>
  <c r="R65" i="22" s="1"/>
  <c r="Q59" i="22"/>
  <c r="R59" i="22" s="1"/>
  <c r="Q137" i="22"/>
  <c r="R137" i="22" s="1"/>
  <c r="Q17" i="22"/>
  <c r="R17" i="22" s="1"/>
  <c r="Q29" i="22"/>
  <c r="R29" i="22" s="1"/>
  <c r="Q155" i="22"/>
  <c r="R155" i="22" s="1"/>
  <c r="L75" i="22"/>
  <c r="AJ75" i="22" s="1"/>
  <c r="AL75" i="22" s="1"/>
  <c r="N75" i="22" s="1"/>
  <c r="L63" i="22"/>
  <c r="AJ63" i="22" s="1"/>
  <c r="AL63" i="22" s="1"/>
  <c r="N63" i="22" s="1"/>
  <c r="L57" i="22"/>
  <c r="AJ57" i="22" s="1"/>
  <c r="AL57" i="22" s="1"/>
  <c r="N57" i="22" s="1"/>
  <c r="T111" i="32"/>
  <c r="T112" i="32" s="1"/>
  <c r="L39" i="22"/>
  <c r="AJ39" i="22" s="1"/>
  <c r="Q46" i="22"/>
  <c r="R46" i="22" s="1"/>
  <c r="Q60" i="22"/>
  <c r="R60" i="22" s="1"/>
  <c r="Q128" i="22"/>
  <c r="R128" i="22" s="1"/>
  <c r="AC22" i="34"/>
  <c r="AC23" i="34"/>
  <c r="AC24" i="34" s="1"/>
  <c r="L72" i="22"/>
  <c r="AJ72" i="22" s="1"/>
  <c r="AL72" i="22" s="1"/>
  <c r="N72" i="22" s="1"/>
  <c r="L24" i="22"/>
  <c r="AJ24" i="22" s="1"/>
  <c r="L60" i="22"/>
  <c r="AJ60" i="22" s="1"/>
  <c r="AL60" i="22" s="1"/>
  <c r="N60" i="22" s="1"/>
  <c r="L36" i="22"/>
  <c r="AJ36" i="22" s="1"/>
  <c r="L12" i="22"/>
  <c r="AJ12" i="22" s="1"/>
  <c r="L54" i="22"/>
  <c r="AJ54" i="22" s="1"/>
  <c r="AL54" i="22" s="1"/>
  <c r="N54" i="22" s="1"/>
  <c r="S21" i="22"/>
  <c r="S115" i="22"/>
  <c r="S105" i="22"/>
  <c r="S97" i="22"/>
  <c r="S69" i="22"/>
  <c r="S91" i="22"/>
  <c r="S9" i="22"/>
  <c r="U51" i="32"/>
  <c r="U52" i="32" s="1"/>
  <c r="L22" i="22"/>
  <c r="AJ22" i="22" s="1"/>
  <c r="L10" i="22"/>
  <c r="AJ10" i="22" s="1"/>
  <c r="S52" i="32"/>
  <c r="S10" i="22"/>
  <c r="S81" i="22"/>
  <c r="Q91" i="22"/>
  <c r="R91" i="22" s="1"/>
  <c r="Q105" i="22"/>
  <c r="R105" i="22" s="1"/>
  <c r="Q146" i="22"/>
  <c r="R146" i="22" s="1"/>
  <c r="K13" i="34"/>
  <c r="AC47" i="34"/>
  <c r="Q76" i="22"/>
  <c r="R76" i="22" s="1"/>
  <c r="Q28" i="22"/>
  <c r="R28" i="22" s="1"/>
  <c r="Q153" i="22"/>
  <c r="R153" i="22" s="1"/>
  <c r="Q64" i="22"/>
  <c r="R64" i="22" s="1"/>
  <c r="Q135" i="22"/>
  <c r="R135" i="22" s="1"/>
  <c r="Q58" i="22"/>
  <c r="R58" i="22" s="1"/>
  <c r="Q16" i="22"/>
  <c r="R16" i="22" s="1"/>
  <c r="O79" i="27"/>
  <c r="O76" i="27"/>
  <c r="O74" i="27"/>
  <c r="O51" i="27"/>
  <c r="O48" i="27"/>
  <c r="O46" i="27"/>
  <c r="O72" i="27"/>
  <c r="O69" i="27"/>
  <c r="O67" i="27"/>
  <c r="O44" i="27"/>
  <c r="O41" i="27"/>
  <c r="O39" i="27"/>
  <c r="O65" i="27"/>
  <c r="O62" i="27"/>
  <c r="O60" i="27"/>
  <c r="O37" i="27"/>
  <c r="O34" i="27"/>
  <c r="O32" i="27"/>
  <c r="O58" i="27"/>
  <c r="O55" i="27"/>
  <c r="O81" i="27"/>
  <c r="O30" i="27"/>
  <c r="O27" i="27"/>
  <c r="O23" i="27"/>
  <c r="O13" i="27"/>
  <c r="S18" i="22"/>
  <c r="S90" i="22"/>
  <c r="O20" i="27"/>
  <c r="O9" i="27"/>
  <c r="S94" i="22"/>
  <c r="S112" i="22"/>
  <c r="S84" i="22"/>
  <c r="S78" i="22"/>
  <c r="O16" i="27"/>
  <c r="S48" i="22"/>
  <c r="S42" i="22"/>
  <c r="M81" i="27"/>
  <c r="N81" i="27" s="1"/>
  <c r="M53" i="27"/>
  <c r="N53" i="27" s="1"/>
  <c r="M74" i="27"/>
  <c r="N74" i="27" s="1"/>
  <c r="M46" i="27"/>
  <c r="N46" i="27" s="1"/>
  <c r="M67" i="27"/>
  <c r="N67" i="27" s="1"/>
  <c r="M39" i="27"/>
  <c r="N39" i="27" s="1"/>
  <c r="M60" i="27"/>
  <c r="N60" i="27" s="1"/>
  <c r="M32" i="27"/>
  <c r="N32" i="27" s="1"/>
  <c r="M18" i="27"/>
  <c r="N18" i="27" s="1"/>
  <c r="Q93" i="22"/>
  <c r="R93" i="22" s="1"/>
  <c r="M11" i="27"/>
  <c r="N11" i="27" s="1"/>
  <c r="Q71" i="22"/>
  <c r="R71" i="22" s="1"/>
  <c r="Q23" i="22"/>
  <c r="R23" i="22" s="1"/>
  <c r="Q101" i="22"/>
  <c r="R101" i="22" s="1"/>
  <c r="Q89" i="22"/>
  <c r="R89" i="22" s="1"/>
  <c r="Q83" i="22"/>
  <c r="R83" i="22" s="1"/>
  <c r="Q11" i="22"/>
  <c r="R11" i="22" s="1"/>
  <c r="Q119" i="22"/>
  <c r="R119" i="22" s="1"/>
  <c r="Q53" i="22"/>
  <c r="R53" i="22" s="1"/>
  <c r="Q47" i="22"/>
  <c r="R47" i="22" s="1"/>
  <c r="L69" i="22"/>
  <c r="AJ69" i="22" s="1"/>
  <c r="AL69" i="22" s="1"/>
  <c r="N69" i="22" s="1"/>
  <c r="L45" i="22"/>
  <c r="AJ45" i="22" s="1"/>
  <c r="AL45" i="22" s="1"/>
  <c r="N45" i="22" s="1"/>
  <c r="U21" i="32"/>
  <c r="U22" i="32" s="1"/>
  <c r="S12" i="22"/>
  <c r="S24" i="22"/>
  <c r="S36" i="22"/>
  <c r="S17" i="22"/>
  <c r="S27" i="22"/>
  <c r="S65" i="22"/>
  <c r="S58" i="22"/>
  <c r="S148" i="22"/>
  <c r="S29" i="22"/>
  <c r="S40" i="22"/>
  <c r="S63" i="22"/>
  <c r="S16" i="22"/>
  <c r="S130" i="22"/>
  <c r="Q92" i="22"/>
  <c r="R92" i="22" s="1"/>
  <c r="Q108" i="22"/>
  <c r="R108" i="22" s="1"/>
  <c r="S139" i="22"/>
  <c r="S155" i="22"/>
  <c r="L21" i="22"/>
  <c r="AJ21" i="22" s="1"/>
  <c r="L27" i="22"/>
  <c r="AJ27" i="22" s="1"/>
  <c r="L70" i="22"/>
  <c r="AJ70" i="22" s="1"/>
  <c r="AL70" i="22" s="1"/>
  <c r="N70" i="22" s="1"/>
  <c r="M25" i="27"/>
  <c r="N25" i="27" s="1"/>
  <c r="O11" i="27"/>
  <c r="S59" i="22"/>
  <c r="S28" i="22"/>
  <c r="I100" i="36"/>
  <c r="H45" i="36"/>
  <c r="I78" i="36"/>
  <c r="Q148" i="22"/>
  <c r="R148" i="22" s="1"/>
  <c r="Q139" i="22"/>
  <c r="R139" i="22" s="1"/>
  <c r="Q130" i="22"/>
  <c r="R130" i="22" s="1"/>
  <c r="Q121" i="22"/>
  <c r="R121" i="22" s="1"/>
  <c r="R54" i="22"/>
  <c r="Q72" i="22"/>
  <c r="R72" i="22" s="1"/>
  <c r="Q12" i="22"/>
  <c r="R12" i="22" s="1"/>
  <c r="S22" i="22"/>
  <c r="S108" i="22"/>
  <c r="S92" i="22"/>
  <c r="S52" i="22"/>
  <c r="S46" i="22"/>
  <c r="S70" i="22"/>
  <c r="S88" i="22"/>
  <c r="S82" i="22"/>
  <c r="M58" i="27"/>
  <c r="N58" i="27" s="1"/>
  <c r="M30" i="27"/>
  <c r="N30" i="27" s="1"/>
  <c r="M79" i="27"/>
  <c r="N79" i="27" s="1"/>
  <c r="M51" i="27"/>
  <c r="N51" i="27" s="1"/>
  <c r="M72" i="27"/>
  <c r="N72" i="27" s="1"/>
  <c r="M44" i="27"/>
  <c r="N44" i="27" s="1"/>
  <c r="M37" i="27"/>
  <c r="N37" i="27" s="1"/>
  <c r="M65" i="27"/>
  <c r="N65" i="27" s="1"/>
  <c r="M23" i="27"/>
  <c r="N23" i="27" s="1"/>
  <c r="Q70" i="22"/>
  <c r="R70" i="22" s="1"/>
  <c r="M9" i="27"/>
  <c r="N9" i="27" s="1"/>
  <c r="Q117" i="22"/>
  <c r="R117" i="22" s="1"/>
  <c r="Q99" i="22"/>
  <c r="R99" i="22" s="1"/>
  <c r="Q10" i="22"/>
  <c r="R10" i="22" s="1"/>
  <c r="S144" i="22"/>
  <c r="S126" i="22"/>
  <c r="Q88" i="22"/>
  <c r="R88" i="22" s="1"/>
  <c r="S76" i="22"/>
  <c r="I91" i="36"/>
  <c r="I58" i="36" s="1"/>
  <c r="H58" i="36"/>
  <c r="I110" i="36"/>
  <c r="C68" i="13"/>
  <c r="B19" i="35" s="1"/>
  <c r="E19" i="35" s="1"/>
  <c r="M19" i="35" s="1"/>
  <c r="M97" i="13"/>
  <c r="D68" i="13"/>
  <c r="C19" i="35" s="1"/>
  <c r="AC37" i="34"/>
  <c r="K12" i="34"/>
  <c r="L65" i="22"/>
  <c r="AJ65" i="22" s="1"/>
  <c r="AL65" i="22" s="1"/>
  <c r="N65" i="22" s="1"/>
  <c r="L59" i="22"/>
  <c r="AJ59" i="22" s="1"/>
  <c r="AL59" i="22" s="1"/>
  <c r="N59" i="22" s="1"/>
  <c r="L29" i="22"/>
  <c r="AJ29" i="22" s="1"/>
  <c r="L77" i="22"/>
  <c r="AJ77" i="22" s="1"/>
  <c r="AL77" i="22" s="1"/>
  <c r="N77" i="22" s="1"/>
  <c r="L41" i="22"/>
  <c r="AJ41" i="22" s="1"/>
  <c r="M55" i="27"/>
  <c r="N55" i="27" s="1"/>
  <c r="M27" i="27"/>
  <c r="N27" i="27" s="1"/>
  <c r="M76" i="27"/>
  <c r="N76" i="27" s="1"/>
  <c r="M48" i="27"/>
  <c r="N48" i="27" s="1"/>
  <c r="M69" i="27"/>
  <c r="N69" i="27" s="1"/>
  <c r="M41" i="27"/>
  <c r="N41" i="27" s="1"/>
  <c r="M34" i="27"/>
  <c r="N34" i="27" s="1"/>
  <c r="M62" i="27"/>
  <c r="N62" i="27" s="1"/>
  <c r="M13" i="27"/>
  <c r="N13" i="27" s="1"/>
  <c r="N6" i="27"/>
  <c r="Q97" i="22"/>
  <c r="R97" i="22" s="1"/>
  <c r="Q51" i="22"/>
  <c r="R51" i="22" s="1"/>
  <c r="Q45" i="22"/>
  <c r="R45" i="22" s="1"/>
  <c r="Q9" i="22"/>
  <c r="R9" i="22" s="1"/>
  <c r="M20" i="27"/>
  <c r="N20" i="27" s="1"/>
  <c r="Q21" i="22"/>
  <c r="R21" i="22" s="1"/>
  <c r="Q115" i="22"/>
  <c r="R115" i="22" s="1"/>
  <c r="Q87" i="22"/>
  <c r="R87" i="22" s="1"/>
  <c r="Q81" i="22"/>
  <c r="R81" i="22" s="1"/>
  <c r="S51" i="22"/>
  <c r="L52" i="22"/>
  <c r="AJ52" i="22" s="1"/>
  <c r="AL52" i="22" s="1"/>
  <c r="N52" i="22" s="1"/>
  <c r="S153" i="22"/>
  <c r="K9" i="34"/>
  <c r="K16" i="34"/>
  <c r="S71" i="22"/>
  <c r="S23" i="22"/>
  <c r="S11" i="22"/>
  <c r="S110" i="22"/>
  <c r="S93" i="22"/>
  <c r="Q112" i="22"/>
  <c r="R112" i="22" s="1"/>
  <c r="Q103" i="22"/>
  <c r="R103" i="22" s="1"/>
  <c r="Q42" i="22"/>
  <c r="R42" i="22" s="1"/>
  <c r="Q66" i="22"/>
  <c r="R66" i="22" s="1"/>
  <c r="Q6" i="22"/>
  <c r="R6" i="22" s="1"/>
  <c r="W52" i="32"/>
  <c r="S128" i="22"/>
  <c r="S146" i="22"/>
  <c r="Q82" i="22"/>
  <c r="R82" i="22" s="1"/>
  <c r="S89" i="22"/>
  <c r="Q41" i="22"/>
  <c r="R41" i="22" s="1"/>
  <c r="Q52" i="22"/>
  <c r="R52" i="22" s="1"/>
  <c r="K11" i="34"/>
  <c r="T21" i="32"/>
  <c r="T22" i="32" s="1"/>
  <c r="T51" i="32"/>
  <c r="T52" i="32" s="1"/>
  <c r="Q78" i="22"/>
  <c r="R78" i="22" s="1"/>
  <c r="S87" i="22"/>
  <c r="Q36" i="22"/>
  <c r="R36" i="22" s="1"/>
  <c r="S45" i="22"/>
  <c r="Q48" i="22"/>
  <c r="R48" i="22" s="1"/>
  <c r="L9" i="22"/>
  <c r="AJ9" i="22" s="1"/>
  <c r="L15" i="22"/>
  <c r="AJ15" i="22" s="1"/>
  <c r="L46" i="22"/>
  <c r="AJ46" i="22" s="1"/>
  <c r="AL46" i="22" s="1"/>
  <c r="N46" i="22" s="1"/>
  <c r="L51" i="22"/>
  <c r="AJ51" i="22" s="1"/>
  <c r="AL51" i="22" s="1"/>
  <c r="N51" i="22" s="1"/>
  <c r="S101" i="22"/>
  <c r="Q110" i="22"/>
  <c r="R110" i="22" s="1"/>
  <c r="S117" i="22"/>
  <c r="Q126" i="22"/>
  <c r="R126" i="22" s="1"/>
  <c r="Q94" i="22"/>
  <c r="R94" i="22" s="1"/>
  <c r="Q22" i="22"/>
  <c r="R22" i="22" s="1"/>
  <c r="N16" i="27"/>
  <c r="O18" i="27"/>
  <c r="S64" i="22"/>
  <c r="AC28" i="34"/>
  <c r="AD100" i="36"/>
  <c r="I198" i="36"/>
  <c r="D188" i="36"/>
  <c r="L83" i="36"/>
  <c r="H85" i="36"/>
  <c r="S151" i="22"/>
  <c r="S142" i="22"/>
  <c r="S133" i="22"/>
  <c r="S124" i="22"/>
  <c r="Q151" i="22"/>
  <c r="R151" i="22" s="1"/>
  <c r="S75" i="22"/>
  <c r="AC111" i="36"/>
  <c r="AM81" i="36" s="1"/>
  <c r="H229" i="36"/>
  <c r="M86" i="13"/>
  <c r="C57" i="13"/>
  <c r="B8" i="35" s="1"/>
  <c r="E8" i="35" s="1"/>
  <c r="M8" i="35" s="1"/>
  <c r="D57" i="13"/>
  <c r="C8" i="35" s="1"/>
  <c r="M100" i="13"/>
  <c r="C71" i="13"/>
  <c r="B22" i="35" s="1"/>
  <c r="E22" i="35" s="1"/>
  <c r="M22" i="35" s="1"/>
  <c r="D71" i="13"/>
  <c r="C22" i="35" s="1"/>
  <c r="M112" i="13"/>
  <c r="C112" i="13" s="1"/>
  <c r="C83" i="13"/>
  <c r="B34" i="35" s="1"/>
  <c r="E34" i="35" s="1"/>
  <c r="M34" i="35" s="1"/>
  <c r="D83" i="13"/>
  <c r="C34" i="35" s="1"/>
  <c r="Q15" i="22"/>
  <c r="R15" i="22" s="1"/>
  <c r="AJ6" i="22"/>
  <c r="L40" i="22"/>
  <c r="AJ40" i="22" s="1"/>
  <c r="Q57" i="22"/>
  <c r="R57" i="22" s="1"/>
  <c r="Q133" i="22"/>
  <c r="R133" i="22" s="1"/>
  <c r="L18" i="22"/>
  <c r="AJ18" i="22" s="1"/>
  <c r="L23" i="22"/>
  <c r="AJ23" i="22" s="1"/>
  <c r="Q27" i="22"/>
  <c r="R27" i="22" s="1"/>
  <c r="AD111" i="36"/>
  <c r="I229" i="36"/>
  <c r="C55" i="13"/>
  <c r="B6" i="35" s="1"/>
  <c r="E6" i="35" s="1"/>
  <c r="M6" i="35" s="1"/>
  <c r="D55" i="13"/>
  <c r="C6" i="35" s="1"/>
  <c r="C60" i="13"/>
  <c r="B11" i="35" s="1"/>
  <c r="E11" i="35" s="1"/>
  <c r="M11" i="35" s="1"/>
  <c r="D60" i="13"/>
  <c r="C11" i="35" s="1"/>
  <c r="C65" i="13"/>
  <c r="B16" i="35" s="1"/>
  <c r="E16" i="35" s="1"/>
  <c r="M16" i="35" s="1"/>
  <c r="M94" i="13"/>
  <c r="D65" i="13"/>
  <c r="C16" i="35" s="1"/>
  <c r="M98" i="13"/>
  <c r="C69" i="13"/>
  <c r="B20" i="35" s="1"/>
  <c r="E20" i="35" s="1"/>
  <c r="M20" i="35" s="1"/>
  <c r="D69" i="13"/>
  <c r="C20" i="35" s="1"/>
  <c r="M102" i="13"/>
  <c r="C73" i="13"/>
  <c r="B24" i="35" s="1"/>
  <c r="E24" i="35" s="1"/>
  <c r="M24" i="35" s="1"/>
  <c r="D73" i="13"/>
  <c r="C24" i="35" s="1"/>
  <c r="M106" i="13"/>
  <c r="D77" i="13"/>
  <c r="C28" i="35" s="1"/>
  <c r="C77" i="13"/>
  <c r="B28" i="35" s="1"/>
  <c r="E28" i="35" s="1"/>
  <c r="M28" i="35" s="1"/>
  <c r="C81" i="13"/>
  <c r="B32" i="35" s="1"/>
  <c r="E32" i="35" s="1"/>
  <c r="M32" i="35" s="1"/>
  <c r="M110" i="13"/>
  <c r="D81" i="13"/>
  <c r="C32" i="35" s="1"/>
  <c r="G53" i="36"/>
  <c r="I89" i="36"/>
  <c r="I56" i="36" s="1"/>
  <c r="H56" i="36"/>
  <c r="I196" i="36"/>
  <c r="AF100" i="36"/>
  <c r="I175" i="36"/>
  <c r="I193" i="36" s="1"/>
  <c r="D167" i="36"/>
  <c r="AC112" i="36"/>
  <c r="AP81" i="36" s="1"/>
  <c r="H230" i="36"/>
  <c r="S80" i="36"/>
  <c r="I53" i="36"/>
  <c r="C64" i="13"/>
  <c r="B15" i="35" s="1"/>
  <c r="E15" i="35" s="1"/>
  <c r="M15" i="35" s="1"/>
  <c r="M93" i="13"/>
  <c r="D64" i="13"/>
  <c r="C15" i="35" s="1"/>
  <c r="I80" i="36"/>
  <c r="I102" i="36"/>
  <c r="H84" i="36"/>
  <c r="G51" i="36"/>
  <c r="L85" i="36"/>
  <c r="I109" i="36"/>
  <c r="H53" i="36"/>
  <c r="D234" i="36"/>
  <c r="C235" i="36"/>
  <c r="F234" i="36"/>
  <c r="F235" i="36"/>
  <c r="M87" i="13"/>
  <c r="C58" i="13"/>
  <c r="B9" i="35" s="1"/>
  <c r="E9" i="35" s="1"/>
  <c r="M9" i="35" s="1"/>
  <c r="M101" i="13"/>
  <c r="C72" i="13"/>
  <c r="B23" i="35" s="1"/>
  <c r="E23" i="35" s="1"/>
  <c r="M23" i="35" s="1"/>
  <c r="C76" i="13"/>
  <c r="B27" i="35" s="1"/>
  <c r="E27" i="35" s="1"/>
  <c r="M27" i="35" s="1"/>
  <c r="M105" i="13"/>
  <c r="M109" i="13"/>
  <c r="C80" i="13"/>
  <c r="B31" i="35" s="1"/>
  <c r="E31" i="35" s="1"/>
  <c r="M31" i="35" s="1"/>
  <c r="AN76" i="36"/>
  <c r="H81" i="36"/>
  <c r="G48" i="36"/>
  <c r="I57" i="36"/>
  <c r="I214" i="36"/>
  <c r="I220" i="36" s="1"/>
  <c r="I243" i="36" s="1"/>
  <c r="I245" i="36" s="1"/>
  <c r="I117" i="36"/>
  <c r="AC85" i="36"/>
  <c r="AL77" i="36" s="1"/>
  <c r="AE85" i="36"/>
  <c r="AF125" i="36" s="1"/>
  <c r="E147" i="36"/>
  <c r="C146" i="36"/>
  <c r="AF85" i="36"/>
  <c r="F146" i="36"/>
  <c r="AC88" i="36"/>
  <c r="AP77" i="36" s="1"/>
  <c r="AC87" i="36"/>
  <c r="AM77" i="36" s="1"/>
  <c r="AE87" i="36"/>
  <c r="AE88" i="36"/>
  <c r="AS77" i="36" s="1"/>
  <c r="C149" i="36"/>
  <c r="M107" i="13"/>
  <c r="C78" i="13"/>
  <c r="B29" i="35" s="1"/>
  <c r="E29" i="35" s="1"/>
  <c r="M29" i="35" s="1"/>
  <c r="AA13" i="34"/>
  <c r="AA14" i="34" s="1"/>
  <c r="AA12" i="34"/>
  <c r="E237" i="36"/>
  <c r="AE112" i="36" s="1"/>
  <c r="AS81" i="36" s="1"/>
  <c r="F236" i="36"/>
  <c r="AF111" i="36" s="1"/>
  <c r="E236" i="36"/>
  <c r="J229" i="36" s="1"/>
  <c r="F237" i="36"/>
  <c r="C56" i="13"/>
  <c r="B7" i="35" s="1"/>
  <c r="E7" i="35" s="1"/>
  <c r="M7" i="35" s="1"/>
  <c r="M85" i="13"/>
  <c r="M99" i="13"/>
  <c r="C70" i="13"/>
  <c r="B21" i="35" s="1"/>
  <c r="E21" i="35" s="1"/>
  <c r="M21" i="35" s="1"/>
  <c r="M111" i="13"/>
  <c r="C82" i="13"/>
  <c r="B33" i="35" s="1"/>
  <c r="E33" i="35" s="1"/>
  <c r="M33" i="35" s="1"/>
  <c r="C184" i="36"/>
  <c r="D187" i="36"/>
  <c r="F206" i="36"/>
  <c r="F204" i="36"/>
  <c r="E207" i="36"/>
  <c r="O36" i="35"/>
  <c r="R36" i="35" s="1"/>
  <c r="O57" i="35"/>
  <c r="R57" i="35" s="1"/>
  <c r="O49" i="35"/>
  <c r="R49" i="35" s="1"/>
  <c r="O40" i="35"/>
  <c r="R40" i="35" s="1"/>
  <c r="O60" i="35"/>
  <c r="R60" i="35" s="1"/>
  <c r="O52" i="35"/>
  <c r="R52" i="35" s="1"/>
  <c r="O44" i="35"/>
  <c r="R44" i="35" s="1"/>
  <c r="O63" i="35"/>
  <c r="R63" i="35" s="1"/>
  <c r="O55" i="35"/>
  <c r="R55" i="35" s="1"/>
  <c r="O47" i="35"/>
  <c r="R47" i="35" s="1"/>
  <c r="O37" i="35"/>
  <c r="R37" i="35" s="1"/>
  <c r="O58" i="35"/>
  <c r="R58" i="35" s="1"/>
  <c r="O50" i="35"/>
  <c r="R50" i="35" s="1"/>
  <c r="O41" i="35"/>
  <c r="R41" i="35" s="1"/>
  <c r="O61" i="35"/>
  <c r="R61" i="35" s="1"/>
  <c r="O53" i="35"/>
  <c r="R53" i="35" s="1"/>
  <c r="O45" i="35"/>
  <c r="R45" i="35" s="1"/>
  <c r="O35" i="35"/>
  <c r="R35" i="35" s="1"/>
  <c r="O56" i="35"/>
  <c r="R56" i="35" s="1"/>
  <c r="O48" i="35"/>
  <c r="R48" i="35" s="1"/>
  <c r="O38" i="35"/>
  <c r="R38" i="35" s="1"/>
  <c r="O59" i="35"/>
  <c r="R59" i="35" s="1"/>
  <c r="O51" i="35"/>
  <c r="R51" i="35" s="1"/>
  <c r="O42" i="35"/>
  <c r="R42" i="35" s="1"/>
  <c r="O62" i="35"/>
  <c r="R62" i="35" s="1"/>
  <c r="O54" i="35"/>
  <c r="R54" i="35" s="1"/>
  <c r="O46" i="35"/>
  <c r="R46" i="35" s="1"/>
  <c r="M103" i="13"/>
  <c r="M90" i="13"/>
  <c r="M91" i="13"/>
  <c r="C62" i="13"/>
  <c r="B13" i="35" s="1"/>
  <c r="E13" i="35" s="1"/>
  <c r="M13" i="35" s="1"/>
  <c r="C67" i="13"/>
  <c r="B18" i="35" s="1"/>
  <c r="E18" i="35" s="1"/>
  <c r="M18" i="35" s="1"/>
  <c r="M96" i="13"/>
  <c r="C79" i="13"/>
  <c r="B30" i="35" s="1"/>
  <c r="E30" i="35" s="1"/>
  <c r="M30" i="35" s="1"/>
  <c r="M108" i="13"/>
  <c r="J226" i="36"/>
  <c r="J227" i="36"/>
  <c r="C75" i="13"/>
  <c r="B26" i="35" s="1"/>
  <c r="E26" i="35" s="1"/>
  <c r="M26" i="35" s="1"/>
  <c r="R12" i="35" l="1"/>
  <c r="R17" i="35"/>
  <c r="N14" i="35"/>
  <c r="R10" i="35"/>
  <c r="N10" i="35"/>
  <c r="O28" i="22"/>
  <c r="AL28" i="22"/>
  <c r="AE111" i="36"/>
  <c r="R25" i="35"/>
  <c r="K229" i="36"/>
  <c r="J230" i="36"/>
  <c r="K145" i="22"/>
  <c r="AD83" i="36"/>
  <c r="D144" i="36"/>
  <c r="N80" i="36"/>
  <c r="O80" i="36" s="1"/>
  <c r="P80" i="36" s="1"/>
  <c r="K14" i="34"/>
  <c r="K8" i="34"/>
  <c r="O17" i="22"/>
  <c r="O11" i="22"/>
  <c r="O35" i="22"/>
  <c r="AL21" i="22"/>
  <c r="O21" i="22"/>
  <c r="O39" i="22"/>
  <c r="AL39" i="22"/>
  <c r="O10" i="22"/>
  <c r="AL10" i="22"/>
  <c r="R27" i="35"/>
  <c r="N27" i="35"/>
  <c r="C87" i="13"/>
  <c r="B38" i="35" s="1"/>
  <c r="E38" i="35" s="1"/>
  <c r="D87" i="13"/>
  <c r="C38" i="35" s="1"/>
  <c r="R15" i="35"/>
  <c r="N15" i="35"/>
  <c r="F207" i="36"/>
  <c r="AF106" i="36"/>
  <c r="R28" i="35"/>
  <c r="N28" i="35"/>
  <c r="R6" i="35"/>
  <c r="N6" i="35"/>
  <c r="C86" i="13"/>
  <c r="B37" i="35" s="1"/>
  <c r="E37" i="35" s="1"/>
  <c r="D86" i="13"/>
  <c r="C37" i="35" s="1"/>
  <c r="J11" i="34"/>
  <c r="J12" i="34"/>
  <c r="K70" i="27"/>
  <c r="K42" i="27"/>
  <c r="K63" i="27"/>
  <c r="K35" i="27"/>
  <c r="K7" i="27"/>
  <c r="K56" i="27"/>
  <c r="K28" i="27"/>
  <c r="K77" i="27"/>
  <c r="K49" i="27"/>
  <c r="K14" i="27"/>
  <c r="K116" i="22"/>
  <c r="K21" i="27"/>
  <c r="K98" i="22"/>
  <c r="K107" i="22"/>
  <c r="K91" i="22"/>
  <c r="I111" i="36"/>
  <c r="AD78" i="36"/>
  <c r="D137" i="36"/>
  <c r="I155" i="36"/>
  <c r="AL24" i="22"/>
  <c r="O24" i="22"/>
  <c r="AL23" i="22"/>
  <c r="O23" i="22"/>
  <c r="O18" i="22"/>
  <c r="AL18" i="22"/>
  <c r="N18" i="35"/>
  <c r="R18" i="35"/>
  <c r="C103" i="13"/>
  <c r="B54" i="35" s="1"/>
  <c r="E54" i="35" s="1"/>
  <c r="D103" i="13"/>
  <c r="C54" i="35" s="1"/>
  <c r="C99" i="13"/>
  <c r="B50" i="35" s="1"/>
  <c r="E50" i="35" s="1"/>
  <c r="D99" i="13"/>
  <c r="C50" i="35" s="1"/>
  <c r="N31" i="35"/>
  <c r="R31" i="35"/>
  <c r="AC110" i="36"/>
  <c r="AO81" i="36" s="1"/>
  <c r="H228" i="36"/>
  <c r="I47" i="36"/>
  <c r="R11" i="35"/>
  <c r="N11" i="35"/>
  <c r="K73" i="27"/>
  <c r="K45" i="27"/>
  <c r="K66" i="27"/>
  <c r="K38" i="27"/>
  <c r="K59" i="27"/>
  <c r="K31" i="27"/>
  <c r="K80" i="27"/>
  <c r="K52" i="27"/>
  <c r="K10" i="27"/>
  <c r="K24" i="27"/>
  <c r="K17" i="27"/>
  <c r="AL12" i="22"/>
  <c r="O12" i="22"/>
  <c r="N26" i="35"/>
  <c r="R26" i="35"/>
  <c r="D108" i="13"/>
  <c r="C59" i="35" s="1"/>
  <c r="C108" i="13"/>
  <c r="B59" i="35" s="1"/>
  <c r="E59" i="35" s="1"/>
  <c r="N13" i="35"/>
  <c r="R13" i="35"/>
  <c r="N33" i="35"/>
  <c r="R33" i="35"/>
  <c r="C85" i="13"/>
  <c r="B36" i="35" s="1"/>
  <c r="E36" i="35" s="1"/>
  <c r="D85" i="13"/>
  <c r="C36" i="35" s="1"/>
  <c r="N29" i="35"/>
  <c r="R29" i="35"/>
  <c r="H48" i="36"/>
  <c r="I81" i="36"/>
  <c r="I48" i="36" s="1"/>
  <c r="I103" i="36"/>
  <c r="I114" i="36" s="1"/>
  <c r="C109" i="13"/>
  <c r="B60" i="35" s="1"/>
  <c r="E60" i="35" s="1"/>
  <c r="D109" i="13"/>
  <c r="C60" i="35" s="1"/>
  <c r="C101" i="13"/>
  <c r="B52" i="35" s="1"/>
  <c r="E52" i="35" s="1"/>
  <c r="D101" i="13"/>
  <c r="C52" i="35" s="1"/>
  <c r="AD109" i="36"/>
  <c r="I227" i="36"/>
  <c r="AD104" i="36"/>
  <c r="D205" i="36"/>
  <c r="I213" i="36"/>
  <c r="C110" i="13"/>
  <c r="B61" i="35" s="1"/>
  <c r="E61" i="35" s="1"/>
  <c r="D110" i="13"/>
  <c r="C61" i="35" s="1"/>
  <c r="C106" i="13"/>
  <c r="B57" i="35" s="1"/>
  <c r="E57" i="35" s="1"/>
  <c r="D106" i="13"/>
  <c r="C57" i="35" s="1"/>
  <c r="C94" i="13"/>
  <c r="B45" i="35" s="1"/>
  <c r="E45" i="35" s="1"/>
  <c r="D94" i="13"/>
  <c r="C45" i="35" s="1"/>
  <c r="B40" i="35"/>
  <c r="E40" i="35" s="1"/>
  <c r="C40" i="35"/>
  <c r="O6" i="22"/>
  <c r="AL6" i="22"/>
  <c r="B63" i="35"/>
  <c r="E63" i="35" s="1"/>
  <c r="D112" i="13"/>
  <c r="C63" i="35" s="1"/>
  <c r="O9" i="22"/>
  <c r="AL9" i="22"/>
  <c r="O29" i="22"/>
  <c r="AL29" i="22"/>
  <c r="R19" i="35"/>
  <c r="N19" i="35"/>
  <c r="L78" i="36"/>
  <c r="I45" i="36"/>
  <c r="K104" i="22"/>
  <c r="K90" i="22"/>
  <c r="K95" i="22"/>
  <c r="K113" i="22"/>
  <c r="K152" i="22"/>
  <c r="K134" i="22"/>
  <c r="K125" i="22"/>
  <c r="K143" i="22"/>
  <c r="D96" i="13"/>
  <c r="C47" i="35" s="1"/>
  <c r="C96" i="13"/>
  <c r="B47" i="35" s="1"/>
  <c r="E47" i="35" s="1"/>
  <c r="C90" i="13"/>
  <c r="B41" i="35" s="1"/>
  <c r="E41" i="35" s="1"/>
  <c r="D90" i="13"/>
  <c r="C41" i="35" s="1"/>
  <c r="N21" i="35"/>
  <c r="R21" i="35"/>
  <c r="K227" i="36"/>
  <c r="AF109" i="36"/>
  <c r="I120" i="36"/>
  <c r="I158" i="36"/>
  <c r="I113" i="36"/>
  <c r="AD77" i="36"/>
  <c r="R24" i="35"/>
  <c r="N24" i="35"/>
  <c r="C98" i="13"/>
  <c r="B49" i="35" s="1"/>
  <c r="E49" i="35" s="1"/>
  <c r="D98" i="13"/>
  <c r="C49" i="35" s="1"/>
  <c r="R22" i="35"/>
  <c r="N22" i="35"/>
  <c r="O41" i="22"/>
  <c r="AL41" i="22"/>
  <c r="AL27" i="22"/>
  <c r="O27" i="22"/>
  <c r="AL22" i="22"/>
  <c r="O22" i="22"/>
  <c r="D145" i="36"/>
  <c r="AD84" i="36"/>
  <c r="N23" i="35"/>
  <c r="R23" i="35"/>
  <c r="C102" i="13"/>
  <c r="B53" i="35" s="1"/>
  <c r="E53" i="35" s="1"/>
  <c r="D102" i="13"/>
  <c r="C53" i="35" s="1"/>
  <c r="C84" i="13"/>
  <c r="B35" i="35" s="1"/>
  <c r="E35" i="35" s="1"/>
  <c r="D84" i="13"/>
  <c r="C35" i="35" s="1"/>
  <c r="AL40" i="22"/>
  <c r="O40" i="22"/>
  <c r="N34" i="35"/>
  <c r="R34" i="35"/>
  <c r="C100" i="13"/>
  <c r="B51" i="35" s="1"/>
  <c r="E51" i="35" s="1"/>
  <c r="D100" i="13"/>
  <c r="C51" i="35" s="1"/>
  <c r="H52" i="36"/>
  <c r="I108" i="36"/>
  <c r="I85" i="36"/>
  <c r="I52" i="36" s="1"/>
  <c r="AL15" i="22"/>
  <c r="O15" i="22"/>
  <c r="K68" i="27"/>
  <c r="K40" i="27"/>
  <c r="K61" i="27"/>
  <c r="K33" i="27"/>
  <c r="K82" i="27"/>
  <c r="K54" i="27"/>
  <c r="K75" i="27"/>
  <c r="K47" i="27"/>
  <c r="K93" i="22"/>
  <c r="K111" i="22"/>
  <c r="K120" i="22"/>
  <c r="K19" i="27"/>
  <c r="K12" i="27"/>
  <c r="K26" i="27"/>
  <c r="K102" i="22"/>
  <c r="C97" i="13"/>
  <c r="B48" i="35" s="1"/>
  <c r="E48" i="35" s="1"/>
  <c r="D97" i="13"/>
  <c r="C48" i="35" s="1"/>
  <c r="R30" i="35"/>
  <c r="N30" i="35"/>
  <c r="C91" i="13"/>
  <c r="B42" i="35" s="1"/>
  <c r="E42" i="35" s="1"/>
  <c r="D91" i="13"/>
  <c r="C42" i="35" s="1"/>
  <c r="C111" i="13"/>
  <c r="B62" i="35" s="1"/>
  <c r="E62" i="35" s="1"/>
  <c r="D111" i="13"/>
  <c r="C62" i="35" s="1"/>
  <c r="N7" i="35"/>
  <c r="R7" i="35"/>
  <c r="C107" i="13"/>
  <c r="B58" i="35" s="1"/>
  <c r="E58" i="35" s="1"/>
  <c r="D107" i="13"/>
  <c r="C58" i="35" s="1"/>
  <c r="Q78" i="36"/>
  <c r="R78" i="36" s="1"/>
  <c r="C105" i="13"/>
  <c r="B56" i="35" s="1"/>
  <c r="E56" i="35" s="1"/>
  <c r="D105" i="13"/>
  <c r="C56" i="35" s="1"/>
  <c r="R9" i="35"/>
  <c r="N9" i="35"/>
  <c r="AF110" i="36"/>
  <c r="K228" i="36"/>
  <c r="I84" i="36"/>
  <c r="H51" i="36"/>
  <c r="I107" i="36"/>
  <c r="C93" i="13"/>
  <c r="B44" i="35" s="1"/>
  <c r="E44" i="35" s="1"/>
  <c r="D93" i="13"/>
  <c r="C44" i="35" s="1"/>
  <c r="R32" i="35"/>
  <c r="N32" i="35"/>
  <c r="R20" i="35"/>
  <c r="N20" i="35"/>
  <c r="N16" i="35"/>
  <c r="R16" i="35"/>
  <c r="N8" i="35"/>
  <c r="R8" i="35"/>
  <c r="I121" i="36"/>
  <c r="D141" i="36"/>
  <c r="I215" i="36"/>
  <c r="I221" i="36" s="1"/>
  <c r="I242" i="36" s="1"/>
  <c r="AD82" i="36"/>
  <c r="O36" i="22"/>
  <c r="AL36" i="22"/>
  <c r="O78" i="36" l="1"/>
  <c r="P78" i="36" s="1"/>
  <c r="I51" i="36"/>
  <c r="L80" i="36"/>
  <c r="M78" i="36"/>
  <c r="D253" i="36"/>
  <c r="I244" i="36"/>
  <c r="AD118" i="36"/>
  <c r="D260" i="36"/>
  <c r="AD124" i="36"/>
  <c r="AF94" i="36"/>
  <c r="I177" i="36"/>
  <c r="F169" i="36"/>
  <c r="N78" i="36"/>
  <c r="T78" i="36" s="1"/>
  <c r="I174" i="36"/>
  <c r="D165" i="36"/>
  <c r="AD90" i="36"/>
  <c r="AD85" i="36"/>
  <c r="D146" i="36"/>
  <c r="F139" i="36"/>
  <c r="I118" i="36"/>
  <c r="AF80" i="36"/>
  <c r="AD125" i="36"/>
  <c r="I119" i="36"/>
  <c r="AD80" i="36"/>
  <c r="I157" i="36"/>
  <c r="D139" i="36"/>
  <c r="D136" i="36"/>
  <c r="AF88" i="36"/>
  <c r="F149" i="36"/>
  <c r="S78" i="36"/>
  <c r="I219" i="36"/>
  <c r="D237" i="36" s="1"/>
  <c r="D227" i="36"/>
  <c r="L79" i="36"/>
  <c r="AD86" i="36"/>
  <c r="D147" i="36"/>
  <c r="AF86" i="36" l="1"/>
  <c r="F147" i="36"/>
  <c r="AD88" i="36"/>
  <c r="D149" i="36"/>
  <c r="I217" i="36"/>
  <c r="F229" i="36" s="1"/>
  <c r="F184" i="36"/>
  <c r="I195" i="36"/>
  <c r="AF96" i="36"/>
  <c r="AD98" i="36"/>
  <c r="D186" i="36"/>
  <c r="I192" i="36"/>
  <c r="M80" i="36"/>
  <c r="T80" i="36" s="1"/>
  <c r="M79" i="36"/>
  <c r="T79" i="36" s="1"/>
  <c r="I176" i="36"/>
  <c r="D169" i="36"/>
  <c r="AD94" i="36"/>
  <c r="I216" i="36" l="1"/>
  <c r="D229" i="36" s="1"/>
  <c r="I194" i="36"/>
  <c r="AD96" i="36"/>
  <c r="D184" i="36"/>
  <c r="I212" i="36"/>
  <c r="AD106" i="36"/>
  <c r="D207" i="36"/>
  <c r="F203" i="36"/>
  <c r="AF102" i="36"/>
  <c r="AF112" i="36"/>
  <c r="K230" i="36"/>
  <c r="AD102" i="36" l="1"/>
  <c r="D203" i="36"/>
  <c r="D225" i="36"/>
  <c r="I218" i="36"/>
  <c r="D235" i="36" s="1"/>
  <c r="AD112" i="36"/>
  <c r="I230" i="36"/>
  <c r="I228" i="36" l="1"/>
  <c r="AD110" i="36"/>
  <c r="I226" i="36"/>
  <c r="AD108" i="3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N5" authorId="0" shapeId="0" xr:uid="{46F763A2-BEB2-40DC-9441-60017F23B53F}">
      <text>
        <r>
          <rPr>
            <b/>
            <sz val="9"/>
            <color indexed="81"/>
            <rFont val="Tahoma"/>
            <family val="2"/>
          </rPr>
          <t>Iben Moll Rasmussen:</t>
        </r>
        <r>
          <rPr>
            <sz val="9"/>
            <color indexed="81"/>
            <rFont val="Tahoma"/>
            <family val="2"/>
          </rPr>
          <t xml:space="preserve">
What does this mean?</t>
        </r>
      </text>
    </comment>
    <comment ref="R5" authorId="1" shapeId="0" xr:uid="{3E941E40-61B6-43C2-AF1C-33C9478DAB1B}">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P5" authorId="0" shapeId="0" xr:uid="{00000000-0006-0000-0400-000001000000}">
      <text>
        <r>
          <rPr>
            <b/>
            <sz val="9"/>
            <color indexed="81"/>
            <rFont val="Tahoma"/>
            <family val="2"/>
          </rPr>
          <t>Iben Moll Rasmussen:</t>
        </r>
        <r>
          <rPr>
            <sz val="9"/>
            <color indexed="81"/>
            <rFont val="Tahoma"/>
            <family val="2"/>
          </rPr>
          <t xml:space="preserve">
What does this mean?</t>
        </r>
      </text>
    </comment>
    <comment ref="T5" authorId="1" shapeId="0" xr:uid="{00000000-0006-0000-0400-000002000000}">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Mikkel Bosack Simonsen</author>
  </authors>
  <commentList>
    <comment ref="AE4" authorId="0" shapeId="0" xr:uid="{00000000-0006-0000-0500-000001000000}">
      <text>
        <r>
          <rPr>
            <b/>
            <sz val="9"/>
            <color indexed="81"/>
            <rFont val="Tahoma"/>
            <family val="2"/>
          </rPr>
          <t>Iben Moll Rasmussen:</t>
        </r>
        <r>
          <rPr>
            <sz val="9"/>
            <color indexed="81"/>
            <rFont val="Tahoma"/>
            <family val="2"/>
          </rPr>
          <t xml:space="preserve">
The backpressure coefficient is defined as the maximum power generating capacity in backpressure mode divided by the maximum heat capacity</t>
        </r>
      </text>
    </comment>
    <comment ref="T5" authorId="0" shapeId="0" xr:uid="{00000000-0006-0000-0500-000002000000}">
      <text>
        <r>
          <rPr>
            <b/>
            <sz val="9"/>
            <color indexed="81"/>
            <rFont val="Tahoma"/>
            <family val="2"/>
          </rPr>
          <t>Iben Moll Rasmussen:</t>
        </r>
        <r>
          <rPr>
            <sz val="9"/>
            <color indexed="81"/>
            <rFont val="Tahoma"/>
            <family val="2"/>
          </rPr>
          <t xml:space="preserve">
What does this mean?</t>
        </r>
      </text>
    </comment>
    <comment ref="X5" authorId="1" shapeId="0" xr:uid="{00000000-0006-0000-0500-000003000000}">
      <text>
        <r>
          <rPr>
            <b/>
            <sz val="9"/>
            <color indexed="81"/>
            <rFont val="Tahoma"/>
            <family val="2"/>
          </rPr>
          <t>Rikke Næraa:</t>
        </r>
        <r>
          <rPr>
            <sz val="9"/>
            <color indexed="81"/>
            <rFont val="Tahoma"/>
            <family val="2"/>
          </rPr>
          <t xml:space="preserve">
All  numbers are changed to a integer
 the value is shown in a comment box
</t>
        </r>
      </text>
    </comment>
    <comment ref="X6" authorId="1" shapeId="0" xr:uid="{00000000-0006-0000-0500-000004000000}">
      <text>
        <r>
          <rPr>
            <b/>
            <sz val="9"/>
            <color indexed="81"/>
            <rFont val="Tahoma"/>
            <family val="2"/>
          </rPr>
          <t>Rikke Næraa:</t>
        </r>
        <r>
          <rPr>
            <sz val="9"/>
            <color indexed="81"/>
            <rFont val="Tahoma"/>
            <family val="2"/>
          </rPr>
          <t xml:space="preserve">
4.5
</t>
        </r>
      </text>
    </comment>
    <comment ref="X12" authorId="1" shapeId="0" xr:uid="{00000000-0006-0000-0500-000005000000}">
      <text>
        <r>
          <rPr>
            <b/>
            <sz val="9"/>
            <color indexed="81"/>
            <rFont val="Tahoma"/>
            <family val="2"/>
          </rPr>
          <t>Rikke Næraa:</t>
        </r>
        <r>
          <rPr>
            <sz val="9"/>
            <color indexed="81"/>
            <rFont val="Tahoma"/>
            <family val="2"/>
          </rPr>
          <t xml:space="preserve">
4.5
</t>
        </r>
      </text>
    </comment>
    <comment ref="X18" authorId="1" shapeId="0" xr:uid="{00000000-0006-0000-0500-000006000000}">
      <text>
        <r>
          <rPr>
            <b/>
            <sz val="9"/>
            <color indexed="81"/>
            <rFont val="Tahoma"/>
            <family val="2"/>
          </rPr>
          <t>Rikke Næraa:</t>
        </r>
        <r>
          <rPr>
            <sz val="9"/>
            <color indexed="81"/>
            <rFont val="Tahoma"/>
            <family val="2"/>
          </rPr>
          <t xml:space="preserve">
4.5
</t>
        </r>
      </text>
    </comment>
    <comment ref="X24" authorId="1" shapeId="0" xr:uid="{00000000-0006-0000-0500-000007000000}">
      <text>
        <r>
          <rPr>
            <b/>
            <sz val="9"/>
            <color indexed="81"/>
            <rFont val="Tahoma"/>
            <family val="2"/>
          </rPr>
          <t>Rikke Næraa:</t>
        </r>
        <r>
          <rPr>
            <sz val="9"/>
            <color indexed="81"/>
            <rFont val="Tahoma"/>
            <family val="2"/>
          </rPr>
          <t xml:space="preserve">
4.5
</t>
        </r>
      </text>
    </comment>
    <comment ref="X66" authorId="1" shapeId="0" xr:uid="{00000000-0006-0000-0500-000008000000}">
      <text>
        <r>
          <rPr>
            <b/>
            <sz val="9"/>
            <color indexed="81"/>
            <rFont val="Tahoma"/>
            <family val="2"/>
          </rPr>
          <t>Rikke Næraa:</t>
        </r>
        <r>
          <rPr>
            <sz val="9"/>
            <color indexed="81"/>
            <rFont val="Tahoma"/>
            <family val="2"/>
          </rPr>
          <t xml:space="preserve">
4.5
</t>
        </r>
      </text>
    </comment>
    <comment ref="M68" authorId="2" shapeId="0" xr:uid="{00000000-0006-0000-0500-000009000000}">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X72" authorId="1" shapeId="0" xr:uid="{00000000-0006-0000-0500-00000A000000}">
      <text>
        <r>
          <rPr>
            <b/>
            <sz val="9"/>
            <color indexed="81"/>
            <rFont val="Tahoma"/>
            <family val="2"/>
          </rPr>
          <t>Rikke Næraa:</t>
        </r>
        <r>
          <rPr>
            <sz val="9"/>
            <color indexed="81"/>
            <rFont val="Tahoma"/>
            <family val="2"/>
          </rPr>
          <t xml:space="preserve">
4.5
</t>
        </r>
      </text>
    </comment>
    <comment ref="M74" authorId="2" shapeId="0" xr:uid="{00000000-0006-0000-0500-00000B000000}">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Andreas Helk | Viegand Maagøe</author>
  </authors>
  <commentList>
    <comment ref="F5" authorId="0" shapeId="0" xr:uid="{A9792D54-19D5-4685-B882-F510555D1AAE}">
      <text>
        <r>
          <rPr>
            <b/>
            <sz val="9"/>
            <color indexed="81"/>
            <rFont val="Tahoma"/>
            <family val="2"/>
          </rPr>
          <t>Andreas Helk | Viegand Maagøe:</t>
        </r>
        <r>
          <rPr>
            <sz val="9"/>
            <color indexed="81"/>
            <rFont val="Tahoma"/>
            <family val="2"/>
          </rPr>
          <t xml:space="preserve">
Heat pumps are set to use both electricity and waste heat within industries.</t>
        </r>
      </text>
    </comment>
    <comment ref="I5" authorId="0" shapeId="0" xr:uid="{164C0734-5236-4342-BF94-51530EDE749E}">
      <text>
        <r>
          <rPr>
            <b/>
            <sz val="9"/>
            <color indexed="81"/>
            <rFont val="Tahoma"/>
            <family val="2"/>
          </rPr>
          <t>Andreas Helk | Viegand Maagøe:</t>
        </r>
        <r>
          <rPr>
            <sz val="9"/>
            <color indexed="81"/>
            <rFont val="Tahoma"/>
            <family val="2"/>
          </rPr>
          <t xml:space="preserve">
Boilers are also set to give out waste heat</t>
        </r>
      </text>
    </comment>
    <comment ref="R5" authorId="0" shapeId="0" xr:uid="{30847522-4B24-4281-A942-A3865B8E11E7}">
      <text>
        <r>
          <rPr>
            <b/>
            <sz val="9"/>
            <color indexed="81"/>
            <rFont val="Tahoma"/>
            <family val="2"/>
          </rPr>
          <t>Andreas Helk | Viegand Maagøe:</t>
        </r>
        <r>
          <rPr>
            <sz val="9"/>
            <color indexed="81"/>
            <rFont val="Tahoma"/>
            <family val="2"/>
          </rPr>
          <t xml:space="preserve">
Consider looking into updating these</t>
        </r>
      </text>
    </comment>
    <comment ref="Y5" authorId="0" shapeId="0" xr:uid="{0C38120B-E299-4270-B77C-B1FE01C09221}">
      <text>
        <r>
          <rPr>
            <b/>
            <sz val="9"/>
            <color indexed="81"/>
            <rFont val="Tahoma"/>
            <family val="2"/>
          </rPr>
          <t>Andreas Helk | Viegand Maagøe:</t>
        </r>
        <r>
          <rPr>
            <sz val="9"/>
            <color indexed="81"/>
            <rFont val="Tahoma"/>
            <family val="2"/>
          </rPr>
          <t xml:space="preserve">
For heat pumps the COP value is loaded here for calculating the input shares. (* means that TIMES does not read the column)</t>
        </r>
      </text>
    </comment>
    <comment ref="AH5" authorId="0" shapeId="0" xr:uid="{80C59A1F-B1DC-4E74-98E8-E4D43851C643}">
      <text>
        <r>
          <rPr>
            <b/>
            <sz val="9"/>
            <color indexed="81"/>
            <rFont val="Tahoma"/>
            <family val="2"/>
          </rPr>
          <t>Andreas Helk | Viegand Maagøe:</t>
        </r>
        <r>
          <rPr>
            <sz val="9"/>
            <color indexed="81"/>
            <rFont val="Tahoma"/>
            <family val="2"/>
          </rPr>
          <t xml:space="preserve">
Consider looking into updating these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P5" authorId="0" shapeId="0" xr:uid="{00000000-0006-0000-0600-000001000000}">
      <text>
        <r>
          <rPr>
            <b/>
            <sz val="9"/>
            <color indexed="81"/>
            <rFont val="Tahoma"/>
            <family val="2"/>
          </rPr>
          <t>Iben Moll Rasmussen:</t>
        </r>
        <r>
          <rPr>
            <sz val="9"/>
            <color indexed="81"/>
            <rFont val="Tahoma"/>
            <family val="2"/>
          </rPr>
          <t xml:space="preserve">
What does this mean?</t>
        </r>
      </text>
    </comment>
    <comment ref="T5" authorId="1" shapeId="0" xr:uid="{00000000-0006-0000-0600-000002000000}">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Mikkel Bosack Simonsen</author>
  </authors>
  <commentList>
    <comment ref="H23" authorId="0" shapeId="0" xr:uid="{00000000-0006-0000-0D00-000001000000}">
      <text>
        <r>
          <rPr>
            <b/>
            <sz val="9"/>
            <color indexed="81"/>
            <rFont val="Tahoma"/>
            <family val="2"/>
          </rPr>
          <t>Mikkel Bosack Simonsen:</t>
        </r>
        <r>
          <rPr>
            <sz val="9"/>
            <color indexed="81"/>
            <rFont val="Tahoma"/>
            <family val="2"/>
          </rPr>
          <t xml:space="preserve">
SE1 to DK2 to DHF</t>
        </r>
      </text>
    </comment>
    <comment ref="H25" authorId="0" shapeId="0" xr:uid="{00000000-0006-0000-0D00-000002000000}">
      <text>
        <r>
          <rPr>
            <b/>
            <sz val="9"/>
            <color indexed="81"/>
            <rFont val="Tahoma"/>
            <family val="2"/>
          </rPr>
          <t>Mikkel Bosack Simonsen:</t>
        </r>
        <r>
          <rPr>
            <sz val="9"/>
            <color indexed="81"/>
            <rFont val="Tahoma"/>
            <family val="2"/>
          </rPr>
          <t xml:space="preserve">
SE2 to DK2 to DHF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<sst xmlns="http://schemas.openxmlformats.org/spreadsheetml/2006/main" count="4690" uniqueCount="900">
  <si>
    <t>~FI_T</t>
  </si>
  <si>
    <t>TechName</t>
  </si>
  <si>
    <t>*TechDesc</t>
  </si>
  <si>
    <t>Comm-IN</t>
  </si>
  <si>
    <t>Comm-OUT</t>
  </si>
  <si>
    <t>Year</t>
  </si>
  <si>
    <t>START</t>
  </si>
  <si>
    <t>EFF</t>
  </si>
  <si>
    <t>INVCOST</t>
  </si>
  <si>
    <t>FIXOM</t>
  </si>
  <si>
    <t>VAROM</t>
  </si>
  <si>
    <t>CAP2ACT</t>
  </si>
  <si>
    <t>AFA</t>
  </si>
  <si>
    <t>*PlantName</t>
  </si>
  <si>
    <t>*Unit</t>
  </si>
  <si>
    <t>Factor</t>
  </si>
  <si>
    <t>Years</t>
  </si>
  <si>
    <t>ELCC</t>
  </si>
  <si>
    <t>ELCCOA</t>
  </si>
  <si>
    <t>LIFE</t>
  </si>
  <si>
    <t>ELCCPW</t>
  </si>
  <si>
    <t>ELCNGA</t>
  </si>
  <si>
    <t>ELCWST</t>
  </si>
  <si>
    <t>ELCSTR</t>
  </si>
  <si>
    <t>ELCWIN</t>
  </si>
  <si>
    <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</si>
  <si>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</si>
  <si>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</si>
  <si>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</si>
  <si>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</si>
  <si>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</si>
  <si>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</si>
  <si>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</si>
  <si>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</si>
  <si>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</si>
  <si>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</si>
  <si>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</si>
  <si>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</si>
  <si>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</si>
  <si>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</si>
  <si>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</si>
  <si>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</si>
  <si>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</si>
  <si>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</si>
  <si>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</si>
  <si>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</si>
  <si>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</si>
  <si>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</si>
  <si>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</si>
  <si>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</si>
  <si>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</si>
  <si>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</si>
  <si>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</si>
  <si>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</si>
  <si>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</si>
  <si>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</si>
  <si>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</si>
  <si>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</si>
  <si>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ELCGEO</t>
  </si>
  <si>
    <t>Comm-IN-A</t>
  </si>
  <si>
    <t>Units of activity/unit of capacity</t>
  </si>
  <si>
    <t>Annual availability/utilization factor</t>
  </si>
  <si>
    <t>Technical life</t>
  </si>
  <si>
    <t>Total cost of investment in new capacity</t>
  </si>
  <si>
    <t>Annual fixed O&amp;M cost</t>
  </si>
  <si>
    <t>Annual variable O&amp;M cost</t>
  </si>
  <si>
    <t>The first year when a technology is available for Investment</t>
  </si>
  <si>
    <t>Input name</t>
  </si>
  <si>
    <t>Output name</t>
  </si>
  <si>
    <t>ELCAMB</t>
  </si>
  <si>
    <t>Date</t>
  </si>
  <si>
    <r>
      <t>1)</t>
    </r>
    <r>
      <rPr>
        <b/>
        <sz val="7"/>
        <color theme="1"/>
        <rFont val="Times New Roman"/>
        <family val="1"/>
      </rPr>
      <t xml:space="preserve">      </t>
    </r>
    <r>
      <rPr>
        <b/>
        <sz val="11"/>
        <color theme="1"/>
        <rFont val="Calibri"/>
        <family val="2"/>
        <scheme val="minor"/>
      </rPr>
      <t>Identification of technology codes for the power and district heating sector</t>
    </r>
  </si>
  <si>
    <t>NGA</t>
  </si>
  <si>
    <t>CODE</t>
  </si>
  <si>
    <t>WIN</t>
  </si>
  <si>
    <t>SOL</t>
  </si>
  <si>
    <t>Sector</t>
  </si>
  <si>
    <t>Heavy Fuel Oil</t>
  </si>
  <si>
    <t>Diesel</t>
  </si>
  <si>
    <t>Coal</t>
  </si>
  <si>
    <t>Nat. Gas</t>
  </si>
  <si>
    <t>Hydro</t>
  </si>
  <si>
    <t>Solar</t>
  </si>
  <si>
    <t>Wind</t>
  </si>
  <si>
    <t>Bio1</t>
  </si>
  <si>
    <t>Chips, pellets, wood waste</t>
  </si>
  <si>
    <t>Bio2</t>
  </si>
  <si>
    <t>Energy crops</t>
  </si>
  <si>
    <t>Bio3</t>
  </si>
  <si>
    <t>Straw</t>
  </si>
  <si>
    <t>Waste</t>
  </si>
  <si>
    <t>Geothermal</t>
  </si>
  <si>
    <t>ELC</t>
  </si>
  <si>
    <t>ELCHFO</t>
  </si>
  <si>
    <t>ELCDSL</t>
  </si>
  <si>
    <t>ELCHYD</t>
  </si>
  <si>
    <r>
      <t>ELCSOL</t>
    </r>
    <r>
      <rPr>
        <sz val="8"/>
        <color theme="1"/>
        <rFont val="Calibri"/>
        <family val="2"/>
        <scheme val="minor"/>
      </rPr>
      <t> </t>
    </r>
  </si>
  <si>
    <t>ELCENC</t>
  </si>
  <si>
    <t>Fuel Code</t>
  </si>
  <si>
    <t>HFO</t>
  </si>
  <si>
    <t>DSL</t>
  </si>
  <si>
    <t>COA</t>
  </si>
  <si>
    <t>HYD</t>
  </si>
  <si>
    <t>CPW</t>
  </si>
  <si>
    <t>ENC</t>
  </si>
  <si>
    <t>STR</t>
  </si>
  <si>
    <t>WST</t>
  </si>
  <si>
    <t>GEO</t>
  </si>
  <si>
    <t>E = existing, N = New</t>
  </si>
  <si>
    <r>
      <t>b)</t>
    </r>
    <r>
      <rPr>
        <b/>
        <sz val="7"/>
        <color theme="1"/>
        <rFont val="Times New Roman"/>
        <family val="1"/>
      </rPr>
      <t xml:space="preserve">      </t>
    </r>
    <r>
      <rPr>
        <b/>
        <sz val="11"/>
        <color theme="1"/>
        <rFont val="Calibri"/>
        <family val="2"/>
        <scheme val="minor"/>
      </rPr>
      <t>Fuel names power and district heating sector</t>
    </r>
  </si>
  <si>
    <r>
      <t>c)</t>
    </r>
    <r>
      <rPr>
        <b/>
        <sz val="7"/>
        <color theme="1"/>
        <rFont val="Times New Roman"/>
        <family val="1"/>
      </rPr>
      <t xml:space="preserve">      </t>
    </r>
    <r>
      <rPr>
        <b/>
        <sz val="11"/>
        <color theme="1"/>
        <rFont val="Calibri"/>
        <family val="2"/>
        <scheme val="minor"/>
      </rPr>
      <t>Existing or New plant</t>
    </r>
  </si>
  <si>
    <t>Ambient temperature</t>
  </si>
  <si>
    <t>AMB</t>
  </si>
  <si>
    <t>Name</t>
  </si>
  <si>
    <t>Sheet Name</t>
  </si>
  <si>
    <t>Cells</t>
  </si>
  <si>
    <t>Comments</t>
  </si>
  <si>
    <t xml:space="preserve">Number starting from 5 to ensure that it do not have the same name as the technology from the VT file tech a,b,c,d, ( c and D now moved and cganged to subres files </t>
  </si>
  <si>
    <t>Description</t>
  </si>
  <si>
    <t>Purpose:</t>
  </si>
  <si>
    <t>Description:</t>
  </si>
  <si>
    <t>Relevant sectors</t>
  </si>
  <si>
    <t>Description of different sheets</t>
  </si>
  <si>
    <t>New technologies available for the power and heat sector</t>
  </si>
  <si>
    <t>The data is based on the technology catalgues</t>
  </si>
  <si>
    <t>Commodity definitions</t>
  </si>
  <si>
    <t>Process definition for new technologies</t>
  </si>
  <si>
    <t>Naming_convention</t>
  </si>
  <si>
    <t>Description of naming convention</t>
  </si>
  <si>
    <t>ELCCCS</t>
  </si>
  <si>
    <t>CCS</t>
  </si>
  <si>
    <t>Carbon Capture and Storage</t>
  </si>
  <si>
    <t>CCS_Comm</t>
  </si>
  <si>
    <t>CCS_processes</t>
  </si>
  <si>
    <t>CCS_CAP</t>
  </si>
  <si>
    <t>ENV</t>
  </si>
  <si>
    <t>PRE</t>
  </si>
  <si>
    <t>Simon Brøndum Andersen</t>
  </si>
  <si>
    <t>All sheets</t>
  </si>
  <si>
    <t>All cells</t>
  </si>
  <si>
    <t>Added the CCS technology to the model</t>
  </si>
  <si>
    <t>Capture technologies available for the model</t>
  </si>
  <si>
    <t>Capture Types</t>
  </si>
  <si>
    <t>Post-combustion</t>
  </si>
  <si>
    <t>Pre-combustion</t>
  </si>
  <si>
    <t>Oxyfuel-combustion</t>
  </si>
  <si>
    <t>POST</t>
  </si>
  <si>
    <t>OXY</t>
  </si>
  <si>
    <r>
      <t>a)</t>
    </r>
    <r>
      <rPr>
        <b/>
        <sz val="7"/>
        <color theme="1"/>
        <rFont val="Times New Roman"/>
        <family val="1"/>
      </rPr>
      <t xml:space="preserve">      </t>
    </r>
    <r>
      <rPr>
        <b/>
        <sz val="11"/>
        <color theme="1"/>
        <rFont val="Calibri"/>
        <family val="2"/>
        <scheme val="minor"/>
      </rPr>
      <t>Capture types</t>
    </r>
  </si>
  <si>
    <t>This is the rule to build the CCS name in the model:</t>
  </si>
  <si>
    <t>Capture</t>
  </si>
  <si>
    <t>Transport</t>
  </si>
  <si>
    <t>Storage</t>
  </si>
  <si>
    <r>
      <t>a)</t>
    </r>
    <r>
      <rPr>
        <b/>
        <sz val="7"/>
        <color theme="1"/>
        <rFont val="Times New Roman"/>
        <family val="1"/>
      </rPr>
      <t xml:space="preserve">      </t>
    </r>
    <r>
      <rPr>
        <b/>
        <sz val="11"/>
        <color theme="1"/>
        <rFont val="Calibri"/>
        <family val="2"/>
        <scheme val="minor"/>
      </rPr>
      <t>Transport types</t>
    </r>
  </si>
  <si>
    <r>
      <t>a)</t>
    </r>
    <r>
      <rPr>
        <b/>
        <sz val="7"/>
        <color theme="1"/>
        <rFont val="Times New Roman"/>
        <family val="1"/>
      </rPr>
      <t xml:space="preserve">      </t>
    </r>
    <r>
      <rPr>
        <b/>
        <sz val="11"/>
        <color theme="1"/>
        <rFont val="Calibri"/>
        <family val="2"/>
        <scheme val="minor"/>
      </rPr>
      <t>Storage types</t>
    </r>
  </si>
  <si>
    <r>
      <t>&lt;CCS&gt;&lt;Code&gt;&lt;Fuel Code&gt;</t>
    </r>
    <r>
      <rPr>
        <u/>
        <sz val="11"/>
        <color rgb="FF008080"/>
        <rFont val="Calibri"/>
        <family val="2"/>
        <scheme val="minor"/>
      </rPr>
      <t>&lt;</t>
    </r>
    <r>
      <rPr>
        <sz val="11"/>
        <color theme="1"/>
        <rFont val="Calibri"/>
        <family val="2"/>
        <scheme val="minor"/>
      </rPr>
      <t>Number&gt;&lt;Existing or New&gt;</t>
    </r>
  </si>
  <si>
    <r>
      <t>&lt;CCS&gt;&lt;Code&gt;&lt;On or Offshore&gt;&lt;Distance&gt;</t>
    </r>
    <r>
      <rPr>
        <u/>
        <sz val="11"/>
        <color rgb="FF008080"/>
        <rFont val="Calibri"/>
        <family val="2"/>
        <scheme val="minor"/>
      </rPr>
      <t>&lt;</t>
    </r>
    <r>
      <rPr>
        <sz val="11"/>
        <color theme="1"/>
        <rFont val="Calibri"/>
        <family val="2"/>
        <scheme val="minor"/>
      </rPr>
      <t>Number&gt;&lt;Existing or New&gt;</t>
    </r>
  </si>
  <si>
    <t>kt</t>
  </si>
  <si>
    <t>Loss during transportation</t>
  </si>
  <si>
    <t>CO2_STO/CO2_TRA</t>
  </si>
  <si>
    <t>Hydrocarbon fields</t>
  </si>
  <si>
    <t>Saline Aquifers</t>
  </si>
  <si>
    <t>SA</t>
  </si>
  <si>
    <t>Ship</t>
  </si>
  <si>
    <t>Pipeline</t>
  </si>
  <si>
    <t>Ships</t>
  </si>
  <si>
    <t>Pipe</t>
  </si>
  <si>
    <t>INPUT</t>
  </si>
  <si>
    <t>CHPR~FX</t>
  </si>
  <si>
    <t>CHPR~UP</t>
  </si>
  <si>
    <t>CEH</t>
  </si>
  <si>
    <t>Peak</t>
  </si>
  <si>
    <t>ILED</t>
  </si>
  <si>
    <t>Fixed ELCC Input Share</t>
  </si>
  <si>
    <t>Electrical EFF/ heat efficiency for HOP</t>
  </si>
  <si>
    <t>1/Cb: 
Ratio of heat produced to electricity produced</t>
  </si>
  <si>
    <t>Cv: 
Ratio of electricity lost to heat gained</t>
  </si>
  <si>
    <t>Fraction of capacity in peak equations</t>
  </si>
  <si>
    <t>Lead Time between investment decision and actual availability of capacity (equal to construction time)</t>
  </si>
  <si>
    <t>Mkr/MW</t>
  </si>
  <si>
    <t>Mkr/PJ</t>
  </si>
  <si>
    <t>Construction time</t>
  </si>
  <si>
    <t>ELCWPE</t>
  </si>
  <si>
    <t>ELCWCH</t>
  </si>
  <si>
    <t>Comm-OUT-A</t>
  </si>
  <si>
    <t>Auxilary Output</t>
  </si>
  <si>
    <t>ECCOAAPEXC5NCCSPOST</t>
  </si>
  <si>
    <t>Output in given unit/PJ_input</t>
  </si>
  <si>
    <t>PJ</t>
  </si>
  <si>
    <t>MW</t>
  </si>
  <si>
    <t>OUTPUT</t>
  </si>
  <si>
    <t>ECCOAAPEXC5NCCSOXY</t>
  </si>
  <si>
    <t>CHP</t>
  </si>
  <si>
    <t>ECNGAGTEXC5NCCSPOST</t>
  </si>
  <si>
    <t>ECNGAGTEXC5NCCSOXY</t>
  </si>
  <si>
    <t>YES</t>
  </si>
  <si>
    <t>01  Advanced Pulverized Fuel Power Plant - Coal centralised - With CCS Post-combustion</t>
  </si>
  <si>
    <t>01  Advanced Pulverized Fuel Power Plant - Coal centralised - With CCS Oxyfuel-combustion</t>
  </si>
  <si>
    <t>05  Gas Turbine Combined Cycle - Steam Extraction centralised - With CCS Post-combustion</t>
  </si>
  <si>
    <t>05  Gas Turbine Combined Cycle - Steam Extraction centralised - With CCS Oxyfuel-combustion</t>
  </si>
  <si>
    <t>09  Biomass CHP, Steam Turbine - Woodchips Large with flue gas condensation centralised - With CCS Post-combustion</t>
  </si>
  <si>
    <t>ECSTRSTBPC5NCCSPOST</t>
  </si>
  <si>
    <t>09  Biomass CHP, Steam Turbine - Straw Large with flue gas condensation centralised - With CCS Post-combustion</t>
  </si>
  <si>
    <t>09  Biomass CHP, Steam Turbine - Woodchips Large with flue gas condensation centralised - With CCS Oxyfuel-combustion</t>
  </si>
  <si>
    <t>ECSTRSTBPC5NCCSOXY</t>
  </si>
  <si>
    <t>09  Biomass CHP, Steam Turbine - Straw Large with flue gas condensation centralised - With CCS Oxyfuel-combustion</t>
  </si>
  <si>
    <t>09  Biomass CHP, Steam Turbine - Woodchips Large with flue gas condensation centralised - With CCS CLC-combustion</t>
  </si>
  <si>
    <t>09  Biomass CHP, Steam Turbine - Straw Large with flue gas condensation centralised - With CCS CLC-combustion</t>
  </si>
  <si>
    <t>HPL</t>
  </si>
  <si>
    <t>EHCPWBOC5NCCSPOST</t>
  </si>
  <si>
    <t>43  District Heating Boiler, Biomass Fired - Wood Chips centralised - With CCS Post-combustion</t>
  </si>
  <si>
    <t>EHSTRBOC6NCCSPOST</t>
  </si>
  <si>
    <t>43  District Heating Boiler, Biomass Fired - Straw centralised - With CCS Post-combustion</t>
  </si>
  <si>
    <t>EHWPEBOC5NCCSPOST</t>
  </si>
  <si>
    <t>43XX  District Heating Boiler, Biomass Fired - wood pellets centralised - With CCS Post-combustion</t>
  </si>
  <si>
    <t>EHNGABOC5NCCSPOST</t>
  </si>
  <si>
    <t>44  District Heating Boiler, Gas Fired centralised - With CCS Post-combustion</t>
  </si>
  <si>
    <t>EHCPWBOC5NCCSOXY</t>
  </si>
  <si>
    <t>43  District Heating Boiler, Biomass Fired - Wood Chips centralised - With CCS Oxyfuel-combustion</t>
  </si>
  <si>
    <t>EHSTRBOC6NCCSOXY</t>
  </si>
  <si>
    <t>43  District Heating Boiler, Biomass Fired - Straw centralised - With CCS Oxyfuel-combustion</t>
  </si>
  <si>
    <t>EHWPEBOC5NCCSOXY</t>
  </si>
  <si>
    <t>43XX  District Heating Boiler, Biomass Fired - wood pellets centralised - With CCS Oxyfuel-combustion</t>
  </si>
  <si>
    <t>EHNGABOC5NCCSOXY</t>
  </si>
  <si>
    <t>44  District Heating Boiler, Gas Fired centralised - With CCS Oxyfuel-combustion</t>
  </si>
  <si>
    <t>Auxiliary Input</t>
  </si>
  <si>
    <t>CCSINDCDHTWCH</t>
  </si>
  <si>
    <t>CCSINDCDHTWPE</t>
  </si>
  <si>
    <t>CCSINDSDHTWCH</t>
  </si>
  <si>
    <t>CCSINDSDHTWPE</t>
  </si>
  <si>
    <t>CCSINDXDHTWCH</t>
  </si>
  <si>
    <t>CCSINDXDHTWPE</t>
  </si>
  <si>
    <t>Industrial heating technology Chemical HT - Wood Chips boiler, Pellets - CO2 capture</t>
  </si>
  <si>
    <t>Industrial heating technology Chemical HT - biomass boiler automatic stoking, Pellets - CO2 capture</t>
  </si>
  <si>
    <t>Industrial heating technology Iron &amp; Steel  HT - Wood Chips boiler, Pellets - CO2 capture</t>
  </si>
  <si>
    <t>Industrial heating technology Iron &amp; Steel  HT - biomass boiler automatic stoking, Pellets - CO2 capture</t>
  </si>
  <si>
    <t>Industrial heating technology Aluminium HT - Wood Chips boiler, Pellets - CO2 capture</t>
  </si>
  <si>
    <t>Industrial heating technology Aluminium HT - biomass boiler automatic stoking, Pellets - CO2 capture</t>
  </si>
  <si>
    <t>CCSINDCDHTGAS</t>
  </si>
  <si>
    <t>CCSINDSDHTCOA</t>
  </si>
  <si>
    <t>CCSINDSDHTGAS</t>
  </si>
  <si>
    <t>CCSINDXDHTCOA</t>
  </si>
  <si>
    <t>CCSINDXDHTGAS</t>
  </si>
  <si>
    <t>Industrial heating technology Chemical HT - gas boiler - CO2 capture</t>
  </si>
  <si>
    <t>Industrial heating technology Iron &amp; Steel  HT - Coal boiler - CO2 capture</t>
  </si>
  <si>
    <t>Industrial heating technology Iron &amp; Steel  HT - gas boiler - CO2 capture</t>
  </si>
  <si>
    <t>Industrial heating technology Aluminium HT - Coal boiler - CO2 capture</t>
  </si>
  <si>
    <t>Industrial heating technology Aluminium HT - gas boiler - CO2 capture</t>
  </si>
  <si>
    <t>ICDHT</t>
  </si>
  <si>
    <t>ISDHT</t>
  </si>
  <si>
    <t>IXDHT</t>
  </si>
  <si>
    <t>DKK/EUR</t>
  </si>
  <si>
    <t>MDKK/MW</t>
  </si>
  <si>
    <t>MDKK/PJ</t>
  </si>
  <si>
    <t xml:space="preserve">Fixed ELCC </t>
  </si>
  <si>
    <t>PJ/PJ heat</t>
  </si>
  <si>
    <t>CCGT advanced CCS post combustion</t>
  </si>
  <si>
    <t>Technical</t>
  </si>
  <si>
    <t xml:space="preserve">Net electrical power </t>
  </si>
  <si>
    <t>Gross electrical power</t>
  </si>
  <si>
    <t>Thermal power</t>
  </si>
  <si>
    <t>Max. capacity factor</t>
  </si>
  <si>
    <t>%</t>
  </si>
  <si>
    <t>Avg. capacity factor</t>
  </si>
  <si>
    <t>Technical lifetime</t>
  </si>
  <si>
    <t>years</t>
  </si>
  <si>
    <t>Net efficiency (LHV)</t>
  </si>
  <si>
    <t>Efficiency loss from CCS</t>
  </si>
  <si>
    <r>
      <t>CO</t>
    </r>
    <r>
      <rPr>
        <b/>
        <vertAlign val="subscript"/>
        <sz val="10"/>
        <color rgb="FFFFFFFF"/>
        <rFont val="EC Square Sans Pro"/>
        <family val="2"/>
      </rPr>
      <t>2</t>
    </r>
    <r>
      <rPr>
        <b/>
        <sz val="10"/>
        <color rgb="FFFFFFFF"/>
        <rFont val="EC Square Sans Pro"/>
        <family val="2"/>
      </rPr>
      <t xml:space="preserve"> captured (only CCS)</t>
    </r>
  </si>
  <si>
    <t>Costs</t>
  </si>
  <si>
    <t xml:space="preserve">CAPEX ref </t>
  </si>
  <si>
    <r>
      <t>€</t>
    </r>
    <r>
      <rPr>
        <i/>
        <vertAlign val="subscript"/>
        <sz val="10"/>
        <color theme="1"/>
        <rFont val="EC Square Sans Pro"/>
        <family val="2"/>
      </rPr>
      <t>2013</t>
    </r>
    <r>
      <rPr>
        <i/>
        <sz val="10"/>
        <color theme="1"/>
        <rFont val="EC Square Sans Pro"/>
        <family val="2"/>
      </rPr>
      <t>/kWe</t>
    </r>
  </si>
  <si>
    <t xml:space="preserve">CAPEX low </t>
  </si>
  <si>
    <t xml:space="preserve">CAPEX high </t>
  </si>
  <si>
    <t>Quality of CAPEX estimate</t>
  </si>
  <si>
    <t>medium</t>
  </si>
  <si>
    <t>CAPEX learning rate</t>
  </si>
  <si>
    <t>-</t>
  </si>
  <si>
    <t xml:space="preserve">FOM </t>
  </si>
  <si>
    <t>% CAPEX ref.</t>
  </si>
  <si>
    <t xml:space="preserve">VOM </t>
  </si>
  <si>
    <r>
      <t>€</t>
    </r>
    <r>
      <rPr>
        <i/>
        <vertAlign val="subscript"/>
        <sz val="10"/>
        <color theme="1"/>
        <rFont val="EC Square Sans Pro"/>
        <family val="2"/>
      </rPr>
      <t>2013</t>
    </r>
    <r>
      <rPr>
        <i/>
        <sz val="10"/>
        <color theme="1"/>
        <rFont val="EC Square Sans Pro"/>
        <family val="2"/>
      </rPr>
      <t>/MWh</t>
    </r>
  </si>
  <si>
    <t>Transport storage cost</t>
  </si>
  <si>
    <t xml:space="preserve">No. staff / year </t>
  </si>
  <si>
    <t>Environmental</t>
  </si>
  <si>
    <t xml:space="preserve">Direct GHG emissions </t>
  </si>
  <si>
    <r>
      <t>tCO</t>
    </r>
    <r>
      <rPr>
        <i/>
        <vertAlign val="subscript"/>
        <sz val="10"/>
        <color theme="1"/>
        <rFont val="EC Square Sans Pro"/>
        <family val="2"/>
      </rPr>
      <t>2</t>
    </r>
    <r>
      <rPr>
        <i/>
        <sz val="10"/>
        <color theme="1"/>
        <rFont val="EC Square Sans Pro"/>
        <family val="2"/>
      </rPr>
      <t>(eq)/GWh</t>
    </r>
  </si>
  <si>
    <t xml:space="preserve">Indirect GHG emissions </t>
  </si>
  <si>
    <t>Water consumed</t>
  </si>
  <si>
    <t>l/kWh</t>
  </si>
  <si>
    <t>Water withdrawn</t>
  </si>
  <si>
    <t>Evolution</t>
  </si>
  <si>
    <t xml:space="preserve">Max. potential </t>
  </si>
  <si>
    <t>GWe</t>
  </si>
  <si>
    <t>Pulverised coal supercritical CCS post-combustion</t>
  </si>
  <si>
    <t xml:space="preserve">Max potential </t>
  </si>
  <si>
    <t>Fluidised bed lignite CCS post combustion</t>
  </si>
  <si>
    <t>Pulverised coal supercritical CCS oxyfuel.</t>
  </si>
  <si>
    <t xml:space="preserve">FOM learning rate </t>
  </si>
  <si>
    <t>IGCC CCS pre-combustion.</t>
  </si>
  <si>
    <t>IGCC lignite CCS pre combustion.</t>
  </si>
  <si>
    <r>
      <t>Transport/storage cost CO</t>
    </r>
    <r>
      <rPr>
        <b/>
        <vertAlign val="subscript"/>
        <sz val="10"/>
        <color rgb="FFFFFFFF"/>
        <rFont val="EC Square Sans Pro"/>
        <family val="2"/>
      </rPr>
      <t>2</t>
    </r>
  </si>
  <si>
    <t>Integrated Gasification Combined Cycle lignite</t>
  </si>
  <si>
    <t>Owner's cost</t>
  </si>
  <si>
    <t>Project indirect costs</t>
  </si>
  <si>
    <t>Electrical and I&amp;C supply and installation</t>
  </si>
  <si>
    <t>Mechanical equipment supply and installation costs</t>
  </si>
  <si>
    <t>Civil and structural costs</t>
  </si>
  <si>
    <t>CAPEX breakdown</t>
  </si>
  <si>
    <t>Integrated Gasification Combined Cycle coal</t>
  </si>
  <si>
    <t>Supercritical fluidized bed lignite</t>
  </si>
  <si>
    <t xml:space="preserve">No. staff </t>
  </si>
  <si>
    <t>FOM learning rate</t>
  </si>
  <si>
    <t>Pulverised lignite supercritical.</t>
  </si>
  <si>
    <t xml:space="preserve">Net efficiency (LHV) </t>
  </si>
  <si>
    <t>Pulverised coal supercritical.</t>
  </si>
  <si>
    <t>Combined Cycle Gas Turbine advanced.</t>
  </si>
  <si>
    <t>Open Cycle Gas Turbine advanced</t>
  </si>
  <si>
    <t>n/a</t>
  </si>
  <si>
    <t>Quality CAPEX estimate</t>
  </si>
  <si>
    <t>Open-Cycle Gas Turbine conventional</t>
  </si>
  <si>
    <t xml:space="preserve">Source on CCS power generating plants. The source for power and heat production however is based on the Danish energy agencies Technology Catalogue. These sources are entirely used to find the cost the CCS process. </t>
  </si>
  <si>
    <t>https://setis.ec.europa.eu/sites/default/files/reports/ETRI-2014.pdf</t>
  </si>
  <si>
    <t>It has been assumed that the price on the CCS process for all solid fuels are similar to the one for Coal power production</t>
  </si>
  <si>
    <t>Assumptions</t>
  </si>
  <si>
    <t>The Industrial heating plants, who are able to establish CCS comes at the same costs as for the Power and Heating sector</t>
  </si>
  <si>
    <t>Industrial processes and heating plants, with no electricity generation, using CCS have an aditional electricity consumption based on the loss of efficiency for Power plants</t>
  </si>
  <si>
    <t>Loss of Efficiency recalculation</t>
  </si>
  <si>
    <t>Total efficiency</t>
  </si>
  <si>
    <t>Loss in efficiency</t>
  </si>
  <si>
    <t>Electricity consumption relative to the output</t>
  </si>
  <si>
    <t>It is assumed only Oxy and Post combustion technolgies are avaiable for heating only plants as the benefits from gasifyring before production primarily benefits power generating technologies, due to higher electrical efficiencies.</t>
  </si>
  <si>
    <t>From SubRes ELC_Techs the corosponding standard heating technology</t>
  </si>
  <si>
    <t>ECCPWCHBPC5NCCSPOST</t>
  </si>
  <si>
    <t>ECCPWCHBPC5NCCSOXY</t>
  </si>
  <si>
    <t>*Total EFF</t>
  </si>
  <si>
    <t>Total Efficiency</t>
  </si>
  <si>
    <t>*Cb-value</t>
  </si>
  <si>
    <t xml:space="preserve">Backpres-sure coef-ficient </t>
  </si>
  <si>
    <t>OLD</t>
  </si>
  <si>
    <t>NEW</t>
  </si>
  <si>
    <t>*</t>
  </si>
  <si>
    <t>*ECCPWCHBPC5NCCSCLC</t>
  </si>
  <si>
    <t>*ECSTRSTBPC5NCCSCLC</t>
  </si>
  <si>
    <t>ECWPEAPEXC5NCCSPOST</t>
  </si>
  <si>
    <t>ECWPEAPEXC5NCCSOXY</t>
  </si>
  <si>
    <t>01  Advanced Pulverized Fuel Power Plant - Wood Pellets centralised - With CCS Post-combustion</t>
  </si>
  <si>
    <t>01  Advanced Pulverized Fuel Power Plant - Wood Pellets centralised - With CCS Oxyfuel-combustion</t>
  </si>
  <si>
    <t>08  Waste-to-Energy CHP Plant centralised - Large - With CCS Post-combustion</t>
  </si>
  <si>
    <t>08  Waste-to-Energy CHP Plant centralised - Large - With CCS Oxyfuel-combustion</t>
  </si>
  <si>
    <t>ECWSTBPC5NCCSPOST</t>
  </si>
  <si>
    <t>ECWSTBPC5NCCSOXY</t>
  </si>
  <si>
    <t>INDELC</t>
  </si>
  <si>
    <t>SUPDACNGC5N</t>
  </si>
  <si>
    <t>SUPDACELC5N</t>
  </si>
  <si>
    <t>Direct air to Capturing CO2, Gas fired</t>
  </si>
  <si>
    <t>Direct air to Capturing CO2, Gas and electricity fired</t>
  </si>
  <si>
    <t>CCXCO2</t>
  </si>
  <si>
    <t>Scenario</t>
  </si>
  <si>
    <t>Gas Input (GJ/t CO2)</t>
  </si>
  <si>
    <t>Electricity Input (kWh/t CO2)</t>
  </si>
  <si>
    <t>C-Gas/C-Air</t>
  </si>
  <si>
    <t>Capital cost USD per t co2/year</t>
  </si>
  <si>
    <t>O&amp;M (USD/ t CO2)</t>
  </si>
  <si>
    <t>Levelised (USD/ t CO2)</t>
  </si>
  <si>
    <t>CFR</t>
  </si>
  <si>
    <t>A Baseline: Gas fired -&gt; 15 Mpa CO2 Output</t>
  </si>
  <si>
    <t>B: Baseline with Nth plant financials</t>
  </si>
  <si>
    <t>C: Gas and Electricity input -&gt; 15 Mpa CO2 Outpur</t>
  </si>
  <si>
    <t>D: Gas and electricity input -&gt; 0.1 Mpa CO2 Output assuming zero cost O2</t>
  </si>
  <si>
    <t>113-124</t>
  </si>
  <si>
    <t>152-163</t>
  </si>
  <si>
    <t>94-97</t>
  </si>
  <si>
    <t>128-130</t>
  </si>
  <si>
    <t>a Gas and electrical inputs as well as levelized cost are all per ton CO2 capture from the atmosphere. b Non-energy O&amp;M expressed as fixed per unit of capacity with variable costs including cost of make-up streams included and converted equivalent fixed costs using 90% utilization. c CRF is the average capital recovery factor defined in the section on Process Economics. Calculations assume NG at 3.5 $/GJ and a 90% utilization. For the C and D variants levelized costs are shown as a range using electricity at 30 and 60 $/MWhr</t>
  </si>
  <si>
    <t>PJ/kt CO2</t>
  </si>
  <si>
    <t>Efficiency gas to CO2</t>
  </si>
  <si>
    <t>PJ gas /kt CO2</t>
  </si>
  <si>
    <t>MKr/kt</t>
  </si>
  <si>
    <t>MKr/kt/year</t>
  </si>
  <si>
    <t>From: https://keith.seas.harvard.edu/files/tkg/files/keith_et_al._-_2018_-_a_process_for_capturing_co2_from_the_atmosphere.pdf</t>
  </si>
  <si>
    <t>kta</t>
  </si>
  <si>
    <t>Source: McKinsey and company. “Carbon capture and Storage: Assessing the Economics”.
In: (2008), pages 1–53.</t>
  </si>
  <si>
    <t>Mikkel Bosack Simonsen</t>
  </si>
  <si>
    <t>ELC_CCS_STO</t>
  </si>
  <si>
    <t>Updated values according to Sources.</t>
  </si>
  <si>
    <t>MDKK/ktCO2</t>
  </si>
  <si>
    <t>OPEX per kt CO2 stored</t>
  </si>
  <si>
    <t>CAPEX per kt CO2 stored</t>
  </si>
  <si>
    <t>MDKK/ktCO2/annual</t>
  </si>
  <si>
    <t>VAROM posisible transport costs</t>
  </si>
  <si>
    <t>MDKK/kt</t>
  </si>
  <si>
    <t>dkk/t co2</t>
  </si>
  <si>
    <t>kt Co2</t>
  </si>
  <si>
    <t>MDKK</t>
  </si>
  <si>
    <t>MEUR</t>
  </si>
  <si>
    <t>EUR/t CO2</t>
  </si>
  <si>
    <t>MDKK/ktA CO2</t>
  </si>
  <si>
    <t>MEUR/ktA CO2</t>
  </si>
  <si>
    <t>Onshore</t>
  </si>
  <si>
    <t>Offshore</t>
  </si>
  <si>
    <t>Depleted oil/gas Fields</t>
  </si>
  <si>
    <t>Saline aquifer</t>
  </si>
  <si>
    <t>Opex storage of CO2</t>
  </si>
  <si>
    <t>MEUR/kta CO2</t>
  </si>
  <si>
    <t>MDKK/kta CO2</t>
  </si>
  <si>
    <t>Investment costs calculations for starage facilities, based on best geuss regarding well amount in order to match reports annual investment costs. In order to do so the calculation assume the amount of stored CO2 is equal to 3 900 MW coal power plants emission for 12 years</t>
  </si>
  <si>
    <t>ELC_CCS_Comm</t>
  </si>
  <si>
    <t>Applied fixed bound on balance equation to waste (no overproduction)</t>
  </si>
  <si>
    <t>Transport costs in pipelines are calculated based on the report: Carbon Capture &amp; Storage:
Assessing the Economics, McKinsey&amp;Company</t>
  </si>
  <si>
    <t>The report are deemed useable, allthough the dta is from 2008 as gas and CCS pipelines have been well deleveop for several years</t>
  </si>
  <si>
    <t>Costs are calculated based on a commecial setup for CCS in Denmark, as it has been assumed Denmarks devotion in CCS so far has been very limited and will therefore only include the technology if it has been proven mature</t>
  </si>
  <si>
    <t>Transport by pipeline is estimated to be</t>
  </si>
  <si>
    <t>km onshroe</t>
  </si>
  <si>
    <t>km offshore</t>
  </si>
  <si>
    <t>Cost for pipeline with annual fixed cost equal to 1 % of investment costs</t>
  </si>
  <si>
    <t>million EUR</t>
  </si>
  <si>
    <t>lifetime is set to be 40 years</t>
  </si>
  <si>
    <t>Capacity of pipeline is calculated based on 3 900 MW powerplants with an 50 % efficiency (40 % after electricty consumption by CCS) with a full load of 4500 hours and 40 year lifespan</t>
  </si>
  <si>
    <t>PJ fuel consumed by powerplants annual</t>
  </si>
  <si>
    <t>kt CO2 emitted with Coal as fuel annual</t>
  </si>
  <si>
    <t>Investment cost calculated based on annual kt CO2 capacity</t>
  </si>
  <si>
    <t>Mkr/kta CO2</t>
  </si>
  <si>
    <t>Simple calculation of total transport of CO2 price with 4% interest on investment</t>
  </si>
  <si>
    <t>DKK/t CO2</t>
  </si>
  <si>
    <t>Investment costs</t>
  </si>
  <si>
    <t>Fixed operation costs</t>
  </si>
  <si>
    <t>Mkr/Kt</t>
  </si>
  <si>
    <t>Mkr/Kta</t>
  </si>
  <si>
    <t>CO2STODTS</t>
  </si>
  <si>
    <t>CO2STODGS</t>
  </si>
  <si>
    <t>CO2STODGA</t>
  </si>
  <si>
    <t>CO2STONSF</t>
  </si>
  <si>
    <t>CO2STODZS</t>
  </si>
  <si>
    <t>CO2STOSAA</t>
  </si>
  <si>
    <t>CO2STOSFA</t>
  </si>
  <si>
    <t>CO2STODHS</t>
  </si>
  <si>
    <t>CO2STONSA</t>
  </si>
  <si>
    <t>CO2STONMF</t>
  </si>
  <si>
    <t>CO2STONGA</t>
  </si>
  <si>
    <t>FX</t>
  </si>
  <si>
    <t>Regional investigation of potentials</t>
  </si>
  <si>
    <t>It is wanted to investigate the transport possibilities for CO2 within the different defined regions of Balmorel and TIMES-Scan</t>
  </si>
  <si>
    <t>SON</t>
  </si>
  <si>
    <t>Saline aquifers onshore</t>
  </si>
  <si>
    <t>This is however only done for Norway, Sweden and Denmark, as these are the regions within the Nord Pool, which are known</t>
  </si>
  <si>
    <t>SOFF</t>
  </si>
  <si>
    <t>Saline aquifers offshore</t>
  </si>
  <si>
    <t>HC</t>
  </si>
  <si>
    <t>Hydrocarbon fields (Offshore)</t>
  </si>
  <si>
    <t>Summarised distances to storage units, depending on location for capturing. It has been assumed the nearst storage units are utilised e.g. the model does not nessesary include the benifit from extreme large scale units</t>
  </si>
  <si>
    <t>&gt;processname</t>
  </si>
  <si>
    <t>Region</t>
  </si>
  <si>
    <t>Distance</t>
  </si>
  <si>
    <t>DK1</t>
  </si>
  <si>
    <t>DTS</t>
  </si>
  <si>
    <t>DGS</t>
  </si>
  <si>
    <t>DGA</t>
  </si>
  <si>
    <t>NSF</t>
  </si>
  <si>
    <t>As can be seen the storage potentials in the North are given by:</t>
  </si>
  <si>
    <t>DK2</t>
  </si>
  <si>
    <t>DZS</t>
  </si>
  <si>
    <t>SAA</t>
  </si>
  <si>
    <t>SE1</t>
  </si>
  <si>
    <t>SFA</t>
  </si>
  <si>
    <t>SE2</t>
  </si>
  <si>
    <t>SE3</t>
  </si>
  <si>
    <t>SE4</t>
  </si>
  <si>
    <t>NO1</t>
  </si>
  <si>
    <t>DHS</t>
  </si>
  <si>
    <t>NO2</t>
  </si>
  <si>
    <t>NSA</t>
  </si>
  <si>
    <t>NMF</t>
  </si>
  <si>
    <t>NO5</t>
  </si>
  <si>
    <t>SMF</t>
  </si>
  <si>
    <t>Storage potentials per location</t>
  </si>
  <si>
    <t>Countries</t>
  </si>
  <si>
    <t xml:space="preserve">Identified storages </t>
  </si>
  <si>
    <t>Abriviation</t>
  </si>
  <si>
    <t>Capacities</t>
  </si>
  <si>
    <t>Divided capacities</t>
  </si>
  <si>
    <t>in MtCO2</t>
  </si>
  <si>
    <t>Denmark/Norway</t>
  </si>
  <si>
    <t>Gassum Aquifer</t>
  </si>
  <si>
    <t>Denmark</t>
  </si>
  <si>
    <t>Hanstholm structure</t>
  </si>
  <si>
    <t>Thisted structure</t>
  </si>
  <si>
    <t>Gassum structure</t>
  </si>
  <si>
    <t>Accumulated Mid/Southern Jutland (Voldum, Paarum, Tønder formations)</t>
  </si>
  <si>
    <t>DJS</t>
  </si>
  <si>
    <t>Accumulated West/Southern Zealand (Havnsø, Stenlille, Rødby)</t>
  </si>
  <si>
    <t>Hydrocarbon fields Denmark</t>
  </si>
  <si>
    <t>DHF</t>
  </si>
  <si>
    <t>Norway</t>
  </si>
  <si>
    <t>Norway South accumulated (Heimdal, Frigg, Krossfjord, Flensfjord, Johannes, Skade, Sognefjord, Statfjord)</t>
  </si>
  <si>
    <t>Norway southern hydrocarbon fields</t>
  </si>
  <si>
    <t>Norway middle hydrocarbon fields</t>
  </si>
  <si>
    <t>Norway northern hydrocarbon fields</t>
  </si>
  <si>
    <t>SNF</t>
  </si>
  <si>
    <t>Gran formation</t>
  </si>
  <si>
    <t>Sweden</t>
  </si>
  <si>
    <t>Anager Greensand + Höganäs - Rya storage unit</t>
  </si>
  <si>
    <t>Faludden</t>
  </si>
  <si>
    <t>From SIMONS thesis, includes notes and sources</t>
  </si>
  <si>
    <t>Distances</t>
  </si>
  <si>
    <t>Saline</t>
  </si>
  <si>
    <t>On</t>
  </si>
  <si>
    <t>Off</t>
  </si>
  <si>
    <t>Hydrocarbon</t>
  </si>
  <si>
    <t>Regions</t>
  </si>
  <si>
    <t>Small</t>
  </si>
  <si>
    <t>Medium</t>
  </si>
  <si>
    <t>Large</t>
  </si>
  <si>
    <t>Average distance</t>
  </si>
  <si>
    <t>Accumulated storage Cap, Gt</t>
  </si>
  <si>
    <t>Number of connected regions</t>
  </si>
  <si>
    <t>Connected regions</t>
  </si>
  <si>
    <t>SUM</t>
  </si>
  <si>
    <t>DK1, DK2, NO1, NO2, NO5, SE3</t>
  </si>
  <si>
    <t>DK1, DK2</t>
  </si>
  <si>
    <t>NO1, NO2, NO5</t>
  </si>
  <si>
    <t>ON</t>
  </si>
  <si>
    <t>OF</t>
  </si>
  <si>
    <t>DK1, DK2, SE1, SE2, SE3</t>
  </si>
  <si>
    <t>As can be seen not all storage potentials are placed in the same distance according to all regions. Therefore a need for defining a price for each region is needed.</t>
  </si>
  <si>
    <t>For this there is going to be set up some different cases in terms of transportation, these take basis on the study Ragnhild Skadestad et. Al. [14]</t>
  </si>
  <si>
    <t>Case</t>
  </si>
  <si>
    <t xml:space="preserve">Skagerak </t>
  </si>
  <si>
    <t>Very uncertain (Seet through google maps and eyeballing)</t>
  </si>
  <si>
    <t>Types</t>
  </si>
  <si>
    <t xml:space="preserve">Choices </t>
  </si>
  <si>
    <t>Number in figure</t>
  </si>
  <si>
    <t>Country</t>
  </si>
  <si>
    <t>Onshore/offshore</t>
  </si>
  <si>
    <t>Capacity [Gt]</t>
  </si>
  <si>
    <t>Distances[km]</t>
  </si>
  <si>
    <t>Ref.</t>
  </si>
  <si>
    <t>Note</t>
  </si>
  <si>
    <t>Ålborg Hub</t>
  </si>
  <si>
    <t>[17, 15, 14]</t>
  </si>
  <si>
    <t>Based on the cases put up in [14] and [17] these are the potentials for western Denmark,</t>
  </si>
  <si>
    <t>Here the Nordic hub is set to be in Ålborg, as a large cement production (Ålborg portland) happens here</t>
  </si>
  <si>
    <t>Carbon</t>
  </si>
  <si>
    <t>It is assumed that there are 3 large hydrocarbon fields in Norway, but it has been hard to find the capacity of each field, so it has been assumed that 1/3 is divided between the different fields</t>
  </si>
  <si>
    <t>Hvidovre Hub</t>
  </si>
  <si>
    <t>Google says 330</t>
  </si>
  <si>
    <t>Now the upper numbers are accumulated to make it easier to handle when modelling, the storages are divided into</t>
  </si>
  <si>
    <t>Ref on distance: https://www.freemaptools.com/measure-distance.htm  and for the Utsari it is [17]</t>
  </si>
  <si>
    <t>Small distances</t>
  </si>
  <si>
    <t>0-180</t>
  </si>
  <si>
    <t>Medium distances</t>
  </si>
  <si>
    <t>&lt;180-500</t>
  </si>
  <si>
    <t>These are divided accourding to ZEP which works with the distances 180, 500, 750, 1500</t>
  </si>
  <si>
    <t>Long distances</t>
  </si>
  <si>
    <t>&lt;500</t>
  </si>
  <si>
    <t>Saline formations</t>
  </si>
  <si>
    <t>Networks identified</t>
  </si>
  <si>
    <t>Small distance</t>
  </si>
  <si>
    <t>Pipe onshore,  trucks, trains</t>
  </si>
  <si>
    <t>Pipe, ships</t>
  </si>
  <si>
    <t>Medium distance</t>
  </si>
  <si>
    <t>Long distance</t>
  </si>
  <si>
    <t>Emissions [Mtpa]</t>
  </si>
  <si>
    <t>Brevik Hub (NorCem, Yara)</t>
  </si>
  <si>
    <t>This distance is set from [17]</t>
  </si>
  <si>
    <t>Distance sest from google</t>
  </si>
  <si>
    <t>4a</t>
  </si>
  <si>
    <t>4b</t>
  </si>
  <si>
    <t>4c</t>
  </si>
  <si>
    <t>North sea and Barent sea</t>
  </si>
  <si>
    <t>Stavanger Hub(Steel production, refineries)</t>
  </si>
  <si>
    <t>Bergen Hub(Steel production, refineries)</t>
  </si>
  <si>
    <t>Skagerak and Baltic sea</t>
  </si>
  <si>
    <t>Ship distance [km]</t>
  </si>
  <si>
    <t>Lysekil Hub</t>
  </si>
  <si>
    <t>Distance taken from [17]</t>
  </si>
  <si>
    <t>Consider also the ship distance</t>
  </si>
  <si>
    <t>Norways southern formations</t>
  </si>
  <si>
    <t>Norways southern hydrocarbon fields</t>
  </si>
  <si>
    <t>Distance taken from [17] (Assumed distance)</t>
  </si>
  <si>
    <t>Oxelösund Hub</t>
  </si>
  <si>
    <t>Lysekil</t>
  </si>
  <si>
    <t>Average case</t>
  </si>
  <si>
    <t>Oxelösund</t>
  </si>
  <si>
    <t>Bothnia bay</t>
  </si>
  <si>
    <t>Timrå Hub</t>
  </si>
  <si>
    <t>Distance set from [17]</t>
  </si>
  <si>
    <t>Distance set from google with the influence of [17] (Didnt match that well with Google which said it was 700 km)</t>
  </si>
  <si>
    <t>Luleå Hub</t>
  </si>
  <si>
    <t>These numbers are based on investigation made by [17]</t>
  </si>
  <si>
    <t>Storage/Traps</t>
  </si>
  <si>
    <t>Places</t>
  </si>
  <si>
    <t>Knowledge (-78 lowest and 0 highest)</t>
  </si>
  <si>
    <t>Theretical capacity (Gt)</t>
  </si>
  <si>
    <t>Mt</t>
  </si>
  <si>
    <t>S</t>
  </si>
  <si>
    <t>Frigg formation</t>
  </si>
  <si>
    <t>Utsari formation</t>
  </si>
  <si>
    <t>Johansen formation</t>
  </si>
  <si>
    <t>Sognefjord formation</t>
  </si>
  <si>
    <t>Garn formation</t>
  </si>
  <si>
    <t>T</t>
  </si>
  <si>
    <t>Havnsø fm</t>
  </si>
  <si>
    <t>Gassum Aq.</t>
  </si>
  <si>
    <t>Demark/Norway</t>
  </si>
  <si>
    <t xml:space="preserve">Gassum St. </t>
  </si>
  <si>
    <t>Thisted</t>
  </si>
  <si>
    <t>Hanstholm</t>
  </si>
  <si>
    <t>Arnager Greensand</t>
  </si>
  <si>
    <t>Höganäs-Rya</t>
  </si>
  <si>
    <t>Investigation made by [15]</t>
  </si>
  <si>
    <t>Gt</t>
  </si>
  <si>
    <t>Utsira and Skade</t>
  </si>
  <si>
    <t>Gassum</t>
  </si>
  <si>
    <t>Bryne/Sanders</t>
  </si>
  <si>
    <t>Havnsø</t>
  </si>
  <si>
    <t>Sognefjord</t>
  </si>
  <si>
    <t>Paarup</t>
  </si>
  <si>
    <t>Stratfjord</t>
  </si>
  <si>
    <t>Rødby</t>
  </si>
  <si>
    <t>Stenlille</t>
  </si>
  <si>
    <t>Johannes and Cook</t>
  </si>
  <si>
    <t>Fiskerbanke</t>
  </si>
  <si>
    <t>Tønder</t>
  </si>
  <si>
    <t>Hugin</t>
  </si>
  <si>
    <t>Vedsted</t>
  </si>
  <si>
    <t>Stord</t>
  </si>
  <si>
    <t>Voldum</t>
  </si>
  <si>
    <t>Hydro carbon</t>
  </si>
  <si>
    <t>DKK/t CO2 transported</t>
  </si>
  <si>
    <t>Transport by Ship is based on Gao, 2011 with estimated 5.3 USD/t CO2 for shipping of 300 km</t>
  </si>
  <si>
    <t>DKK/km transported t CO2</t>
  </si>
  <si>
    <t>FLO_COST</t>
  </si>
  <si>
    <t>Mkr/kt CO2</t>
  </si>
  <si>
    <t>CO2 storage - Thisted structure</t>
  </si>
  <si>
    <t>CO2 storage - Gassum structure</t>
  </si>
  <si>
    <t>CO2 storage - Gassum Aquifer</t>
  </si>
  <si>
    <t>CO2 storage - Norway southern hydrocarbon fields</t>
  </si>
  <si>
    <t>CO2 storage - Accumulated West/Southern Zealand (Havnsø, Stenlille, Rødby)</t>
  </si>
  <si>
    <t>CO2 storage - Anager Greensand + Höganäs - Rya storage unit</t>
  </si>
  <si>
    <t>CO2 storage - Faludden</t>
  </si>
  <si>
    <t>CO2 storage - Hanstholm structure</t>
  </si>
  <si>
    <t>CO2 storage - Norway South accumulated (Heimdal, Frigg, Krossfjord, Flensfjord, Johannes, Skade, Sognefjord, Statfjord)</t>
  </si>
  <si>
    <t>CO2 storage - Norway middle hydrocarbon fields</t>
  </si>
  <si>
    <t>CO2 storage - Gran formation</t>
  </si>
  <si>
    <t>CO2STO</t>
  </si>
  <si>
    <t>Carbon storage unit - total amount</t>
  </si>
  <si>
    <t>Commodity Emissions</t>
  </si>
  <si>
    <t>Basic fuels</t>
  </si>
  <si>
    <t>kg/GJ = kt/PJ</t>
  </si>
  <si>
    <t>Wood Chips</t>
  </si>
  <si>
    <t>Biogas</t>
  </si>
  <si>
    <t>Wood Pellets</t>
  </si>
  <si>
    <t>Wave</t>
  </si>
  <si>
    <t>ELCBGA</t>
  </si>
  <si>
    <t>ELCSOL</t>
  </si>
  <si>
    <t>ELCWAV</t>
  </si>
  <si>
    <t>*Units</t>
  </si>
  <si>
    <t>kg/GJ</t>
  </si>
  <si>
    <t>CO2</t>
  </si>
  <si>
    <t>Emis</t>
  </si>
  <si>
    <t>Output in given unit/PJ_output</t>
  </si>
  <si>
    <t>INDCOA</t>
  </si>
  <si>
    <t>INDWCH</t>
  </si>
  <si>
    <t>INDWPE</t>
  </si>
  <si>
    <t>INDNGA</t>
  </si>
  <si>
    <t>PJa</t>
  </si>
  <si>
    <t>ELC_CCS_N_CAP</t>
  </si>
  <si>
    <t>C11</t>
  </si>
  <si>
    <t>Changed ELCWPE to ELCCOA</t>
  </si>
  <si>
    <t>Martin Hagberg</t>
  </si>
  <si>
    <t>IND_CCS_N_CAP</t>
  </si>
  <si>
    <t>C5</t>
  </si>
  <si>
    <t xml:space="preserve">Changed INDCOA to INDNGA </t>
  </si>
  <si>
    <t>INDDSL</t>
  </si>
  <si>
    <t>INDHFO</t>
  </si>
  <si>
    <t>INDLPG</t>
  </si>
  <si>
    <t>INDWST</t>
  </si>
  <si>
    <t>INDCO2</t>
  </si>
  <si>
    <t>CCSIND*</t>
  </si>
  <si>
    <t>Addded INDCO2 table for CCSIND-techs</t>
  </si>
  <si>
    <t>CURR</t>
  </si>
  <si>
    <t>Currency unit</t>
  </si>
  <si>
    <t>MKr15</t>
  </si>
  <si>
    <t xml:space="preserve">Currency was missing troughout file. Added. </t>
  </si>
  <si>
    <t>Technologies did not require input. Added EFF attribute.</t>
  </si>
  <si>
    <t>PRCCOMEMI</t>
  </si>
  <si>
    <t>SUPNGA,SUPSNG1,SUPSNG2</t>
  </si>
  <si>
    <t>DKK/t CO2 STORED</t>
  </si>
  <si>
    <t>CO2 storage - Danish hydrocarbon fields</t>
  </si>
  <si>
    <t>CO2STODHF</t>
  </si>
  <si>
    <t>DK1DHF</t>
  </si>
  <si>
    <t>DK2DHF</t>
  </si>
  <si>
    <t>*Source</t>
  </si>
  <si>
    <t>Related to A input</t>
  </si>
  <si>
    <t>Output in given unit/Output</t>
  </si>
  <si>
    <t>SUPELC</t>
  </si>
  <si>
    <t>CO2DAC</t>
  </si>
  <si>
    <t>Danish Technology catalogues, Dansih energy agency</t>
  </si>
  <si>
    <t>HETD</t>
  </si>
  <si>
    <t>Technology</t>
  </si>
  <si>
    <t xml:space="preserve">Direct Air Capture Plant </t>
  </si>
  <si>
    <t>Uncertainty (2025)</t>
  </si>
  <si>
    <t>Uncertainty (2050)</t>
  </si>
  <si>
    <t>Ref</t>
  </si>
  <si>
    <t>Lower</t>
  </si>
  <si>
    <t>Upper</t>
  </si>
  <si>
    <t>Energy/technical data</t>
  </si>
  <si>
    <r>
      <t>Typical total plant capacity (t CO2</t>
    </r>
    <r>
      <rPr>
        <vertAlign val="subscript"/>
        <sz val="8"/>
        <rFont val="Calibri"/>
        <family val="2"/>
        <scheme val="minor"/>
      </rPr>
      <t xml:space="preserve"> </t>
    </r>
    <r>
      <rPr>
        <sz val="8"/>
        <rFont val="Calibri"/>
        <family val="2"/>
        <scheme val="minor"/>
      </rPr>
      <t xml:space="preserve"> output / hour)</t>
    </r>
  </si>
  <si>
    <t>A</t>
  </si>
  <si>
    <t>- Inputs at max capacity</t>
  </si>
  <si>
    <t xml:space="preserve">A) Air flow rate (t/t CO2 output) </t>
  </si>
  <si>
    <t>B</t>
  </si>
  <si>
    <t xml:space="preserve">C1) Heat  input (MWh/t CO2-output) </t>
  </si>
  <si>
    <t>C</t>
  </si>
  <si>
    <t>1,2,3,4</t>
  </si>
  <si>
    <t>kr/t</t>
  </si>
  <si>
    <t xml:space="preserve">C2) Eletricity input (MWh/t CO2-output) </t>
  </si>
  <si>
    <t>D</t>
  </si>
  <si>
    <r>
      <t>Y)  Auxiliary products inputs (kg/t CO2-output</t>
    </r>
    <r>
      <rPr>
        <vertAlign val="subscript"/>
        <sz val="8"/>
        <rFont val="Calibri"/>
        <family val="2"/>
        <scheme val="minor"/>
      </rPr>
      <t xml:space="preserve"> </t>
    </r>
    <r>
      <rPr>
        <sz val="8"/>
        <rFont val="Calibri"/>
        <family val="2"/>
        <scheme val="minor"/>
      </rPr>
      <t xml:space="preserve">) </t>
    </r>
  </si>
  <si>
    <t>- Outputs at max capacity</t>
  </si>
  <si>
    <t>A2) CO2 purity prior to post cleaning (% vol)</t>
  </si>
  <si>
    <t>E</t>
  </si>
  <si>
    <t>A3) Total pressure of CO2 gas (kPa(a))</t>
  </si>
  <si>
    <t>B1) Mass of H2O (t/t CO2-output)</t>
  </si>
  <si>
    <t>F</t>
  </si>
  <si>
    <t xml:space="preserve">C1) Heat out (MWh/t CO2-output) </t>
  </si>
  <si>
    <t>G</t>
  </si>
  <si>
    <r>
      <t>C2) Temperature of heat out (</t>
    </r>
    <r>
      <rPr>
        <sz val="8"/>
        <rFont val="Symbol"/>
        <family val="1"/>
        <charset val="2"/>
      </rPr>
      <t>°</t>
    </r>
    <r>
      <rPr>
        <sz val="8"/>
        <rFont val="Calibri"/>
        <family val="2"/>
        <scheme val="minor"/>
      </rPr>
      <t>C)</t>
    </r>
  </si>
  <si>
    <t>H</t>
  </si>
  <si>
    <t>EUR/t</t>
  </si>
  <si>
    <t>- other technical data</t>
  </si>
  <si>
    <t>Forced outage (%)</t>
  </si>
  <si>
    <t>I</t>
  </si>
  <si>
    <t>Planned outage (weeks per year)</t>
  </si>
  <si>
    <t>Technical lifetime (years)</t>
  </si>
  <si>
    <t>J</t>
  </si>
  <si>
    <t>Construction time (years)</t>
  </si>
  <si>
    <t>K</t>
  </si>
  <si>
    <t xml:space="preserve">Financial data                                 </t>
  </si>
  <si>
    <t>Specific investment (mill € /[t CO2 output/hour])</t>
  </si>
  <si>
    <t>L</t>
  </si>
  <si>
    <t xml:space="preserve"> - hereof equipment (%)</t>
  </si>
  <si>
    <t xml:space="preserve"> - hereof installation (%)</t>
  </si>
  <si>
    <t>Fixed O&amp;M (mill € /[t CO2 output/hour])</t>
  </si>
  <si>
    <t>M</t>
  </si>
  <si>
    <t>Variable O&amp;M (€ per Mt CO2 output)</t>
  </si>
  <si>
    <t>N</t>
  </si>
  <si>
    <t>Startup cost (€ per startup/t CO2/hour)</t>
  </si>
  <si>
    <t xml:space="preserve">Technology specific data                                 </t>
  </si>
  <si>
    <t>Land use for DAC unit (km^2/(Mt CO₂ output/year)</t>
  </si>
  <si>
    <t>CO₂ compression and dehydration - Electricity input (MWh/t CO₂ output)</t>
  </si>
  <si>
    <t>O</t>
  </si>
  <si>
    <t>CO₂ compression and dehydration - Heat out (MWh/t CO₂ output)</t>
  </si>
  <si>
    <t>References</t>
  </si>
  <si>
    <t>P. Viebahn, A. Scholz and O. Zelt. The potential Role of Direct Air capture in the German energy research program. Energies 2019, 12, 3443</t>
  </si>
  <si>
    <t xml:space="preserve">M. Fasihi, O. Efimova, C. Breyer. Techno-economic assessment of CO₂ direct air capture plants. J. of Cleaner Prod. 224 (2019) 957-980. </t>
  </si>
  <si>
    <t>Evans, S. The Swiss Company Hoping to Capture 1% of Global CO2 Emissions by 2025; CarbonBrief. 22 June 2017.</t>
  </si>
  <si>
    <t xml:space="preserve">A.B. Vogel. CO2 – the Raw Material that Comes from AIR. Swiss Federal Office of Energy. 8643 Gasbefeurte kraftwerke. 05.05.2017. </t>
  </si>
  <si>
    <t>Notes</t>
  </si>
  <si>
    <t>Largest facility in operation today is approx. 0.1 t/h by Climeworks consisting of 18 modules. The 2050 value is based on technology vendors expectations of +1 MTPA plant.</t>
  </si>
  <si>
    <t>Air flow to DAC unit up to year 2025 assumes 50% capture rate of 400 ppmv CO₂ in air. It is expected that capture rate may increase to 80% in 2050.</t>
  </si>
  <si>
    <t>Based on solid adsorption by Climeworks. Heat is required around 100 deg C to desorb CO₂. Inconsistency in reported heat requirement, 2.5 MWh/ton CO₂ is regarded as more realistic value. The 2050 value is Climeworks' target (undocumented)!</t>
  </si>
  <si>
    <t>Electrical consumption between 0.2 and 0.5 MWh/t CO₂ reported. The average value (0.35 MWh/t CO₂) is selected with 20% improvement to 2050.</t>
  </si>
  <si>
    <t>CO₂ purity is claimed to 99.9%, however this is undocumented. It is expected that this is on dry basis as the CO₂ will contain moisture as well.</t>
  </si>
  <si>
    <t>Moisture from the air is co-adsorbed on the filter and desorbed during regeneration. 1 m³/t CO₂ is reported but this will presumably vary with air humidity.</t>
  </si>
  <si>
    <t>Modules must be cooled to 15 deg C after regeneration. No data, hence it is assumed that 50% of heat input must be removed, rest is heat of desorption.</t>
  </si>
  <si>
    <t>Filter module to be cooled from approx. 100 to 15 deg C, hence 50 deg C is taken as an average. Heat only available intermittently as it is a batch process. Details unkonwn.</t>
  </si>
  <si>
    <t>Values assumed, no data available.</t>
  </si>
  <si>
    <t>The life expectancy of one module is reported to be 4 years according to Vogel et al. [4]. Overall plant is assumed to have 20 years lifetime Fashi et al. [2].</t>
  </si>
  <si>
    <t>Climeworks have currently capacity to produce 150 CO₂ collector modules per year, hence today's small scale plants can be produced in short time. The installation time is expected to increase with size of facility.</t>
  </si>
  <si>
    <t>No CAPEX value reported by Climeworks, however based on CAPEX estimate for 360 ktpa plant from Antecy (which has become part of Climeworks). 0.5 mill €/(t CO₂) added for CO₂ compression to 150 bar CAPEX assumed to decrease by 40% in 2050.</t>
  </si>
  <si>
    <t>Total O&amp;M is taken as 3.7% of CAPEX as in Fashi et al. [2].  CO₂ filter is reported to need replacement every 4 years [4]. The filter is assumed to make up 5% of CAPEX, hence additonal 1.25% of CAPEX is added to fixed O&amp;M</t>
  </si>
  <si>
    <t>O&amp;M is not split in fixed and variable. It is expected that O&amp;M is mainly fixed for the solid adsorption technology.</t>
  </si>
  <si>
    <t>Compression  of CO₂ from 0,2 to 150 bara inkl. dehydration to 50 ppmv</t>
  </si>
  <si>
    <t>Direct air to Capturing CO2, electricity, Central</t>
  </si>
  <si>
    <t>Direct air to Capturing CO2, electricity, Decentral</t>
  </si>
  <si>
    <t>CO2FOSI</t>
  </si>
  <si>
    <t>Mkr/MW/year</t>
  </si>
  <si>
    <t>kt/PJ output</t>
  </si>
  <si>
    <t>Cement higt temperature demand (2018)</t>
  </si>
  <si>
    <t>t CO2/hour captured per Mw</t>
  </si>
  <si>
    <t>CO2 emissions from process</t>
  </si>
  <si>
    <t>CO2 emission from input fuel</t>
  </si>
  <si>
    <t>VDA_FLOP</t>
  </si>
  <si>
    <t>Share-I</t>
  </si>
  <si>
    <t>FLO_MARK</t>
  </si>
  <si>
    <t>ELCC demand</t>
  </si>
  <si>
    <t>Heat demand per MW output</t>
  </si>
  <si>
    <t>*EFF Original</t>
  </si>
  <si>
    <t>*COP</t>
  </si>
  <si>
    <t>YEAR</t>
  </si>
  <si>
    <t>*Techname findings</t>
  </si>
  <si>
    <t>kt CO2e</t>
  </si>
  <si>
    <t>Cement process related emissions</t>
  </si>
  <si>
    <t>CCS specific costs and changes in facilities relativew changes compared to reference technology</t>
  </si>
  <si>
    <t>From Danish enviroment inventory 2020 (data from 2018) and demand projection for high temperature heat demand in cement industry</t>
  </si>
  <si>
    <t>Assume compression from CC plant outlet pressure to 150 bar and drying to &lt; 50 ppmv H₂O. Specific power consumption decrease with time as CO₂ is delivered at increasingly higher pressure from the CC plant</t>
  </si>
  <si>
    <t>Fixed O&amp;M is taken as 3% of CAPEX</t>
  </si>
  <si>
    <t>Substantial cost have been included for heat integration which covers steam turbine modification, coupling to district heating net. Heat pump technology for upgrade of low temp waste heat not included.</t>
  </si>
  <si>
    <t>If CO₂ should be delivered liquefied for truck or road transport, a liquefaction plant must be added hence increase this post with 50% + interim storage (specified in chapter on CO₂ transport of Technology Catalogue)</t>
  </si>
  <si>
    <t>If the CHP is euipped with flue gas condensation to &lt;40 deg C the precooler of the CC plant may be omitted. The CC plant cost can in that case be reduced with 5% and the utility cost with 20% (because of less cooling requirement)</t>
  </si>
  <si>
    <t>Total cost including site integration and CO₂ compression. CAPEX is expected to decrease by 40% in 2050 as the market develops. Total capital investment is calculated as plant capacity (t CO₂ output/h) multiplied by the specific investment cost</t>
  </si>
  <si>
    <t>20% of heat is available at 80 deg. C, 80% is available at 50 deg C. The reported 60 deg C is an weighed average.</t>
  </si>
  <si>
    <t>The CO₂ capture percentage from the flue gas is expected to increase from today's 90% to 95% in 2050.</t>
  </si>
  <si>
    <t>CO₂ pressure at outlet flange. Future processes is expected to deliver CO₂ at higher pressure (save compression work)</t>
  </si>
  <si>
    <t>Purity given on wet basis. On dry basis purity is &gt;99.95%vol</t>
  </si>
  <si>
    <t>Electricity consumption includes additional CC plant, flue gas fan work and cooling water pumps, but no ID cooling tower, other utilities. CO₂ compression and drying not included.</t>
  </si>
  <si>
    <t>Heat is supplied as low pressure steam 3-5 bara and (130-150 deg. C)</t>
  </si>
  <si>
    <t>The biomass CHP is assumed to be equipped with flue gas condensation, hence flue gas is available at 35 deg. C</t>
  </si>
  <si>
    <t>CC capacity is chosen to match flue gas flow and CO₂ emission from a 100 MWth biomass boiler. Larger capacites available today if required.</t>
  </si>
  <si>
    <t>Startup cost (€ per startup/[t CO2/hour])</t>
  </si>
  <si>
    <t>Variable O&amp;M (€ per t CO2 output)</t>
  </si>
  <si>
    <t>Fixed O&amp;M (mill € /[t CO2 output/Hour])</t>
  </si>
  <si>
    <t xml:space="preserve"> - hereof Owner's cost (%)</t>
  </si>
  <si>
    <t xml:space="preserve"> - hereof heat integration (%)</t>
  </si>
  <si>
    <t>- hereof utilities &amp; flue gas integration (%)</t>
  </si>
  <si>
    <t xml:space="preserve"> - hereof CO₂ compression&amp;dehydration (%)</t>
  </si>
  <si>
    <t xml:space="preserve"> - hereof capture plant (%)</t>
  </si>
  <si>
    <t>X) Other Non-energy outputs (kg/t CO2-output)</t>
  </si>
  <si>
    <r>
      <t>Ax) CO</t>
    </r>
    <r>
      <rPr>
        <vertAlign val="subscript"/>
        <sz val="8"/>
        <rFont val="Calibri"/>
        <family val="2"/>
        <scheme val="minor"/>
      </rPr>
      <t>2</t>
    </r>
    <r>
      <rPr>
        <sz val="8"/>
        <rFont val="Calibri"/>
        <family val="2"/>
        <scheme val="minor"/>
      </rPr>
      <t xml:space="preserve"> capture rate, net (%)</t>
    </r>
  </si>
  <si>
    <t xml:space="preserve">C3)  Amine make-up (kg/t CO2-output) </t>
  </si>
  <si>
    <r>
      <t>B2) Flue gas temperature (0</t>
    </r>
    <r>
      <rPr>
        <sz val="8"/>
        <rFont val="Symbol"/>
        <family val="1"/>
        <charset val="2"/>
      </rPr>
      <t>°</t>
    </r>
    <r>
      <rPr>
        <sz val="8"/>
        <rFont val="Calibri"/>
        <family val="2"/>
        <scheme val="minor"/>
      </rPr>
      <t>C)</t>
    </r>
  </si>
  <si>
    <r>
      <t>B1) CO</t>
    </r>
    <r>
      <rPr>
        <vertAlign val="subscript"/>
        <sz val="8"/>
        <rFont val="Calibri"/>
        <family val="2"/>
        <scheme val="minor"/>
      </rPr>
      <t>2</t>
    </r>
    <r>
      <rPr>
        <sz val="8"/>
        <rFont val="Calibri"/>
        <family val="2"/>
        <scheme val="minor"/>
      </rPr>
      <t xml:space="preserve"> share in fluegas input (%-vol, dry)</t>
    </r>
  </si>
  <si>
    <t xml:space="preserve">A) Mass of Fluegas (t/t CO2 output) </t>
  </si>
  <si>
    <t>Post-combustion carbon capture retrofit - 100 MW(th) WtE or biomass CHP plant</t>
  </si>
  <si>
    <t>Total cost including CO₂ compression &amp; drying, heat and site integration. CAPEX is expected to decrease by 40% in 2050 as the market develops. Total capital investment is calculated as plant capacity (t CO₂ output/h) multiplied by the specific investment cost.</t>
  </si>
  <si>
    <t>CC capacity is chosen to match flue gas flow and CO₂ emission from a 500 MWth biomass boiler</t>
  </si>
  <si>
    <r>
      <t>A3) CO</t>
    </r>
    <r>
      <rPr>
        <vertAlign val="subscript"/>
        <sz val="8"/>
        <rFont val="Calibri"/>
        <family val="2"/>
        <scheme val="minor"/>
      </rPr>
      <t>2</t>
    </r>
    <r>
      <rPr>
        <sz val="8"/>
        <rFont val="Calibri"/>
        <family val="2"/>
        <scheme val="minor"/>
      </rPr>
      <t xml:space="preserve"> capture rate, net (%)</t>
    </r>
  </si>
  <si>
    <t>A2) Total pressure of CO2 gas (kPa(a))</t>
  </si>
  <si>
    <t>A1) CO2 purity prior to post cleaning (% vol)</t>
  </si>
  <si>
    <r>
      <t>B2) Flue gas temperature (</t>
    </r>
    <r>
      <rPr>
        <sz val="8"/>
        <rFont val="Symbol"/>
        <family val="1"/>
        <charset val="2"/>
      </rPr>
      <t>°</t>
    </r>
    <r>
      <rPr>
        <sz val="8"/>
        <rFont val="Calibri"/>
        <family val="2"/>
        <scheme val="minor"/>
      </rPr>
      <t>C)</t>
    </r>
  </si>
  <si>
    <t>Post-combustion carbon capture retrofit - 500 MW(th) biomass-fired boiler</t>
  </si>
  <si>
    <t>Cement plants typically don't have steam available for CC. Investment cost of steam plant and/or waste heat recovery boilers are included</t>
  </si>
  <si>
    <t xml:space="preserve">Total retrofit cost including CC plant, steam plant/waste heat recovery units, utilities, cooling water, CO₂ compression and drying to pipeline specifications (150 bar) and integration costs. CAPEX is expected to decrease by 40% in 2050 as the market develops. </t>
  </si>
  <si>
    <t>Flue gas condensate is produced from pre-cooling of flue gas</t>
  </si>
  <si>
    <t>This is the water vapour contained in the CO₂ product. This is recovered during compression and may be returned to the CC process</t>
  </si>
  <si>
    <t>Heat is supplied as low pressure steam 3-5 bara and 130-150 deg C</t>
  </si>
  <si>
    <t>Cement kiln exhaust gas is assumed to be  125 deg C</t>
  </si>
  <si>
    <t>CC capacity is chosen to match a cement kiln with production of 4500 tonne clinker per day. CO₂ generated from combusiton of additional fuel to provide heat to CC plant is not captured. Part of the heat demand may be recovered from the cement kiln</t>
  </si>
  <si>
    <t xml:space="preserve"> - hereof heat integration and steam plant (%)</t>
  </si>
  <si>
    <t>D) Flue gas condensate (t/t CO2-output)</t>
  </si>
  <si>
    <t>Post-combustion carbon capture - Retrofit 4500 ton clinker per day cement kiln</t>
  </si>
  <si>
    <t>An large O₂ source is required for an oxy-fuel plant. An ASU is therefore likely to be required.</t>
  </si>
  <si>
    <t>Estimated value excluding ASU for O₂ production</t>
  </si>
  <si>
    <t>Cost for make-up chemicals to CPU and disposal of acid waste. Power consumption for new flue gas recirculations fans assumed to equal reduced power at existing fans</t>
  </si>
  <si>
    <t>Fixed O&amp;M is estimated as 3% of CAPEX.</t>
  </si>
  <si>
    <t>Cost includes boiler modification and CO₂ purification unit (CPU) and compression to 150 bar for pipeline transport, but excludes O₂ production plant (ASU). Cost assumed to decrease by 20% up to 2050 as market develops</t>
  </si>
  <si>
    <t>Cooling water for flue gas condensation. As mentioned in D) this depends on fuel composition.</t>
  </si>
  <si>
    <t>The amount of flue gas condensate produced is depending on fuel composition (moisture). This value is based on wood chips (wet fuel)</t>
  </si>
  <si>
    <t>Some CO₂ is vented from CPU during purification. The capture rate provides the fraction of the CO₂ from the boiler which is captured</t>
  </si>
  <si>
    <t xml:space="preserve">Electricity for oxy-fuel retrofit plant is assumed unchanged when excluding ASU and CPU. </t>
  </si>
  <si>
    <t>On wet basis, before flue gas condensation</t>
  </si>
  <si>
    <t xml:space="preserve">Chris Spero, Toshihiko Yamada. Callide Oxyfuel Project, Final Results, March 2018. https://www.globalccsinstitute.com/archive/hub/publications/202090/cop-finalresults-publicreport-march2018.pdf </t>
  </si>
  <si>
    <t>Heat output CO₂ post treatment (MWh/t CO₂ output)</t>
  </si>
  <si>
    <t>Electricity input CO₂ post treatment (CPU) (MWh/t CO2-output)</t>
  </si>
  <si>
    <t>Electricity input for optional  O₂ plant (ASU)  (MW/ton CO₂/h)</t>
  </si>
  <si>
    <t>Specific investment optional O₂ plant (ASU) (mill € /[t CO2  output/ hour])</t>
  </si>
  <si>
    <t>Variable O&amp;M (€ per t CO2  output)</t>
  </si>
  <si>
    <t>C2) Temperature of heat out (C)</t>
  </si>
  <si>
    <t xml:space="preserve">C1) Heat out (MW/t CO2-output/hour) </t>
  </si>
  <si>
    <t>D) mass of O₂ input (ton O₂/ton CO₂ output)</t>
  </si>
  <si>
    <t>B2) H2O share in fluegas Input  (% vol)</t>
  </si>
  <si>
    <r>
      <t>B1) CO</t>
    </r>
    <r>
      <rPr>
        <vertAlign val="subscript"/>
        <sz val="8"/>
        <rFont val="Calibri"/>
        <family val="2"/>
        <scheme val="minor"/>
      </rPr>
      <t>2</t>
    </r>
    <r>
      <rPr>
        <sz val="8"/>
        <rFont val="Calibri"/>
        <family val="2"/>
        <scheme val="minor"/>
      </rPr>
      <t xml:space="preserve"> share in fluegas input (% vol)</t>
    </r>
  </si>
  <si>
    <t xml:space="preserve">A) Mass of Fluegas (t,/t CO2 output) </t>
  </si>
  <si>
    <t>Oxy-fuel carbon capture - Retrofit 500 MW biomass boiler excluding ASU</t>
  </si>
  <si>
    <t>An large O₂ source is required for an oxy-fuel plant. An ASU is therefore likely to be required. For cement kilns significantly less O₂ required pr. t CO₂ compared to energy plants</t>
  </si>
  <si>
    <t>Estimated value excluding ASU for O₂ generation.</t>
  </si>
  <si>
    <t>Cost for make-up chemicals to CPU and disposal of acid waste. Power at flue gas recirculations fans equals reduced power at other fans</t>
  </si>
  <si>
    <t>Cost includes cement kiln modifications and CO₂ purification unit (CPU) and compression to 150 bar for pipeline transport, but excludes O₂ production plant (ASU). Cost assumed to decrease by 20% up to 2050 as market develops</t>
  </si>
  <si>
    <t>The amount of flue gas condensate produced is depending on fuel composition (moisture) and is based on dry cement process. For wet process 1.1 t condensate/t CO₂ and 0.8 MWh/tonc CO₂ heat out can be used</t>
  </si>
  <si>
    <t>Some CO₂ is vented from CPU during purification. The capture rate provides the fraction of the CO₂ from the klin exhaust gases which is captured</t>
  </si>
  <si>
    <t>On wet basis, after flue gas condensation unit</t>
  </si>
  <si>
    <t>CC capacity is chosen to match a cement kiln with production of 3000 tonne clinker per day.</t>
  </si>
  <si>
    <t>ECRA CCS Project – Report on Phase III. European Cement Research Academy. Technical Report TR-ECRA-119/2012.</t>
  </si>
  <si>
    <t>Oxy-fuel carbon caputre - Retrofit 3000 ton clinker per day cement kiln excluding ASU</t>
  </si>
  <si>
    <t>CO2NSTO</t>
  </si>
  <si>
    <t>Carbon storage unit - Negative - total amount</t>
  </si>
  <si>
    <t>NRG</t>
  </si>
  <si>
    <t>CO2BIOE</t>
  </si>
  <si>
    <t>ELC Biogenic captured CO2</t>
  </si>
  <si>
    <t>CO2FOSE</t>
  </si>
  <si>
    <t>ELC Fossil captured CO2</t>
  </si>
  <si>
    <t>CO2BIOI</t>
  </si>
  <si>
    <t>IND Biogenic captured CO2</t>
  </si>
  <si>
    <t>IND Fossil captured CO2</t>
  </si>
  <si>
    <t>Direct air capture CO2</t>
  </si>
  <si>
    <t>*Fuel Tech</t>
  </si>
  <si>
    <t>FT-CO2CCX</t>
  </si>
  <si>
    <t>Fuel technology - From Captures CO2 to useable CCXCO2</t>
  </si>
  <si>
    <t>EMISSIONS~CO2NSTO</t>
  </si>
  <si>
    <t>SUPDACELD1N</t>
  </si>
  <si>
    <t>SUPDACELC1N</t>
  </si>
  <si>
    <t>CO2WSTE</t>
  </si>
  <si>
    <t>ELC Waste captured CO2</t>
  </si>
  <si>
    <t>CO2STOISL</t>
  </si>
  <si>
    <t>ISLISL</t>
  </si>
  <si>
    <t>CO2 storage - Islandic basalt storage</t>
  </si>
  <si>
    <t>COST</t>
  </si>
  <si>
    <t>HETC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</si>
</sst>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1" formatCode="_-* #,##0_-;\-* #,##0_-;_-* &quot;-&quot;_-;_-@_-"/>
    <numFmt numFmtId="43" formatCode="_-* #,##0.00_-;\-* #,##0.00_-;_-* &quot;-&quot;??_-;_-@_-"/>
    <numFmt numFmtId="164" formatCode="_(* #,##0_);_(* \(#,##0\);_(* &quot;-&quot;_);_(@_)"/>
    <numFmt numFmtId="165" formatCode="_(* #,##0.00_);_(* \(#,##0.00\);_(* &quot;-&quot;??_);_(@_)"/>
    <numFmt numFmtId="166" formatCode="_-* #,##0\ _k_r_._-;\-* #,##0\ _k_r_._-;_-* &quot;-&quot;\ _k_r_._-;_-@_-"/>
    <numFmt numFmtId="167" formatCode="_-* #,##0.00\ _k_r_._-;\-* #,##0.00\ _k_r_._-;_-* &quot;-&quot;??\ _k_r_._-;_-@_-"/>
    <numFmt numFmtId="168" formatCode="_ * #,##0.00_ ;_ * \-#,##0.00_ ;_ * &quot;-&quot;??_ ;_ @_ "/>
    <numFmt numFmtId="169" formatCode="0.0"/>
    <numFmt numFmtId="170" formatCode="_-&quot;€&quot;\ * #,##0.00_-;\-&quot;€&quot;\ * #,##0.00_-;_-&quot;€&quot;\ * &quot;-&quot;??_-;_-@_-"/>
    <numFmt numFmtId="171" formatCode="#,##0;\-\ #,##0;_-\ &quot;- &quot;"/>
    <numFmt numFmtId="172" formatCode="_-[$€-2]\ * #,##0.00_-;\-[$€-2]\ * #,##0.00_-;_-[$€-2]\ * &quot;-&quot;??_-"/>
    <numFmt numFmtId="173" formatCode="0.000"/>
    <numFmt numFmtId="174" formatCode="\Te\x\t"/>
    <numFmt numFmtId="175" formatCode="_([$€]* #,##0.00_);_([$€]* \(#,##0.00\);_([$€]* &quot;-&quot;??_);_(@_)"/>
    <numFmt numFmtId="176" formatCode="_-[$€-2]* #,##0.00_-;\-[$€-2]* #,##0.00_-;_-[$€-2]* &quot;-&quot;??_-"/>
    <numFmt numFmtId="177" formatCode="0_ ;\-0\ "/>
    <numFmt numFmtId="178" formatCode="0.0000000"/>
    <numFmt numFmtId="179" formatCode="_ * #,##0_ ;_ * \-#,##0_ ;_ * &quot;-&quot;_ ;_ @_ "/>
    <numFmt numFmtId="180" formatCode="0.0000"/>
    <numFmt numFmtId="181" formatCode="0.0;\-0.0;0"/>
    <numFmt numFmtId="182" formatCode="#,##0.00\ &quot;kr.&quot;;[Red]\-#,##0.00\ &quot;kr.&quot;"/>
  </numFmts>
  <fonts count="100">
    <font>
      <sz val="11"/>
      <color theme="1"/>
      <name val="Calibri"/>
      <family val="2"/>
      <scheme val="minor"/>
    </font>
    <font>
      <sz val="10"/>
      <name val="Arial"/>
      <family val="2"/>
    </font>
    <font>
      <sz val="10"/>
      <name val="Calibri"/>
      <family val="2"/>
    </font>
    <font>
      <sz val="11"/>
      <color rgb="FF9C0006"/>
      <name val="Calibri"/>
      <family val="2"/>
      <scheme val="minor"/>
    </font>
    <font>
      <sz val="10"/>
      <color theme="1"/>
      <name val="Calibri"/>
      <family val="2"/>
    </font>
    <font>
      <sz val="10"/>
      <color rgb="FF9C0006"/>
      <name val="Calibri"/>
      <family val="2"/>
    </font>
    <font>
      <sz val="10"/>
      <name val="Helv"/>
    </font>
    <font>
      <sz val="11"/>
      <color indexed="17"/>
      <name val="Calibri"/>
      <family val="2"/>
    </font>
    <font>
      <sz val="10"/>
      <name val="Arial"/>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b/>
      <sz val="11"/>
      <color theme="1"/>
      <name val="Calibri"/>
      <family val="2"/>
      <scheme val="minor"/>
    </font>
    <font>
      <sz val="9"/>
      <color indexed="81"/>
      <name val="Tahoma"/>
      <family val="2"/>
    </font>
    <font>
      <b/>
      <sz val="9"/>
      <color indexed="81"/>
      <name val="Tahoma"/>
      <family val="2"/>
    </font>
    <font>
      <sz val="11"/>
      <name val="Calibri"/>
      <family val="2"/>
      <scheme val="minor"/>
    </font>
    <font>
      <b/>
      <sz val="11"/>
      <name val="Calibri"/>
      <family val="2"/>
      <scheme val="minor"/>
    </font>
    <font>
      <sz val="11"/>
      <color theme="1"/>
      <name val="Calibri"/>
      <family val="2"/>
    </font>
    <font>
      <b/>
      <sz val="7"/>
      <color theme="1"/>
      <name val="Times New Roman"/>
      <family val="1"/>
    </font>
    <font>
      <sz val="8"/>
      <color theme="1"/>
      <name val="Calibri"/>
      <family val="2"/>
      <scheme val="minor"/>
    </font>
    <font>
      <sz val="10"/>
      <color theme="1"/>
      <name val="Calibri"/>
      <family val="2"/>
      <scheme val="minor"/>
    </font>
    <font>
      <u/>
      <sz val="11"/>
      <color rgb="FF008080"/>
      <name val="Calibri"/>
      <family val="2"/>
      <scheme val="minor"/>
    </font>
    <font>
      <b/>
      <sz val="8"/>
      <color theme="1"/>
      <name val="Calibri"/>
      <family val="2"/>
      <scheme val="minor"/>
    </font>
    <font>
      <sz val="7"/>
      <color theme="1"/>
      <name val="Calibri"/>
      <family val="2"/>
      <scheme val="minor"/>
    </font>
    <font>
      <sz val="11"/>
      <color theme="1"/>
      <name val="Calibri"/>
      <family val="2"/>
      <scheme val="minor"/>
    </font>
    <font>
      <b/>
      <sz val="11"/>
      <name val="Calibri"/>
      <family val="2"/>
    </font>
    <font>
      <sz val="12"/>
      <color theme="1"/>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0"/>
      <name val="Arial"/>
      <family val="2"/>
    </font>
    <font>
      <sz val="8"/>
      <name val="Arial"/>
      <family val="2"/>
    </font>
    <font>
      <sz val="10"/>
      <name val="Arial"/>
      <family val="2"/>
      <charset val="204"/>
    </font>
    <font>
      <sz val="10"/>
      <name val="Courier"/>
      <family val="3"/>
    </font>
    <font>
      <sz val="9"/>
      <color indexed="8"/>
      <name val="Times New Roman"/>
      <family val="1"/>
    </font>
    <font>
      <sz val="9"/>
      <name val="Times New Roman"/>
      <family val="1"/>
    </font>
    <font>
      <b/>
      <sz val="9"/>
      <name val="Times New Roman"/>
      <family val="1"/>
    </font>
    <font>
      <sz val="9"/>
      <name val="Geneva"/>
      <family val="2"/>
    </font>
    <font>
      <i/>
      <sz val="10"/>
      <name val="Calibri"/>
      <family val="2"/>
    </font>
    <font>
      <u/>
      <sz val="8"/>
      <color indexed="12"/>
      <name val="Arial"/>
      <family val="2"/>
    </font>
    <font>
      <sz val="10"/>
      <color rgb="FF0000FF"/>
      <name val="Calibri"/>
      <family val="2"/>
    </font>
    <font>
      <u/>
      <sz val="11"/>
      <color theme="10"/>
      <name val="Calibri"/>
      <family val="2"/>
      <scheme val="minor"/>
    </font>
    <font>
      <sz val="10"/>
      <color rgb="FF00B050"/>
      <name val="Calibri"/>
      <family val="2"/>
    </font>
    <font>
      <b/>
      <sz val="16"/>
      <color theme="0"/>
      <name val="Calibri"/>
      <family val="2"/>
      <scheme val="minor"/>
    </font>
    <font>
      <b/>
      <sz val="13"/>
      <color theme="0"/>
      <name val="Calibri"/>
      <family val="2"/>
      <scheme val="minor"/>
    </font>
    <font>
      <b/>
      <sz val="12"/>
      <color theme="0"/>
      <name val="Calibri"/>
      <family val="2"/>
      <scheme val="minor"/>
    </font>
    <font>
      <sz val="10"/>
      <color rgb="FFFF0000"/>
      <name val="Calibri"/>
      <family val="2"/>
    </font>
    <font>
      <b/>
      <sz val="11"/>
      <color theme="0"/>
      <name val="Calibri"/>
      <family val="2"/>
      <scheme val="minor"/>
    </font>
    <font>
      <sz val="11"/>
      <color theme="0"/>
      <name val="Calibri"/>
      <family val="2"/>
      <scheme val="minor"/>
    </font>
    <font>
      <b/>
      <sz val="14"/>
      <color rgb="FFFF0000"/>
      <name val="Calibri"/>
      <family val="2"/>
      <scheme val="minor"/>
    </font>
    <font>
      <sz val="10"/>
      <color theme="0"/>
      <name val="Calibri"/>
      <family val="2"/>
    </font>
    <font>
      <sz val="10"/>
      <color rgb="FF006100"/>
      <name val="Calibri"/>
      <family val="2"/>
    </font>
    <font>
      <b/>
      <sz val="10"/>
      <name val="Arial"/>
      <family val="2"/>
    </font>
    <font>
      <b/>
      <sz val="12"/>
      <name val="Arial"/>
      <family val="2"/>
    </font>
    <font>
      <sz val="8"/>
      <color indexed="9"/>
      <name val="Arial"/>
      <family val="2"/>
    </font>
    <font>
      <u/>
      <sz val="11"/>
      <color theme="11"/>
      <name val="Calibri"/>
      <family val="2"/>
      <scheme val="minor"/>
    </font>
    <font>
      <sz val="11"/>
      <color rgb="FF0070C0"/>
      <name val="Calibri"/>
      <family val="2"/>
      <scheme val="minor"/>
    </font>
    <font>
      <u/>
      <sz val="10"/>
      <color theme="10"/>
      <name val="Calibri"/>
      <family val="2"/>
    </font>
    <font>
      <sz val="10"/>
      <color rgb="FF9C6500"/>
      <name val="Calibri"/>
      <family val="2"/>
    </font>
    <font>
      <sz val="8"/>
      <name val="Calibri"/>
      <family val="2"/>
      <scheme val="minor"/>
    </font>
    <font>
      <b/>
      <sz val="10"/>
      <color rgb="FFFFFFFF"/>
      <name val="EC Square Sans Pro"/>
      <family val="2"/>
    </font>
    <font>
      <b/>
      <i/>
      <u/>
      <sz val="10"/>
      <color rgb="FFFFFFFF"/>
      <name val="EC Square Sans Pro"/>
      <family val="2"/>
    </font>
    <font>
      <i/>
      <sz val="10"/>
      <color theme="1"/>
      <name val="EC Square Sans Pro"/>
      <family val="2"/>
    </font>
    <font>
      <sz val="10"/>
      <color theme="1"/>
      <name val="EC Square Sans Pro"/>
      <family val="2"/>
    </font>
    <font>
      <b/>
      <vertAlign val="subscript"/>
      <sz val="10"/>
      <color rgb="FFFFFFFF"/>
      <name val="EC Square Sans Pro"/>
      <family val="2"/>
    </font>
    <font>
      <i/>
      <vertAlign val="subscript"/>
      <sz val="10"/>
      <color theme="1"/>
      <name val="EC Square Sans Pro"/>
      <family val="2"/>
    </font>
    <font>
      <b/>
      <sz val="11"/>
      <color theme="1"/>
      <name val="EC Square Sans Pro"/>
      <family val="2"/>
    </font>
    <font>
      <b/>
      <sz val="9"/>
      <color rgb="FFFFFFFF"/>
      <name val="EC Square Sans Pro"/>
      <family val="2"/>
    </font>
    <font>
      <b/>
      <sz val="16"/>
      <color theme="1"/>
      <name val="Calibri"/>
      <family val="2"/>
      <scheme val="minor"/>
    </font>
    <font>
      <sz val="11"/>
      <color rgb="FFFF0000"/>
      <name val="Calibri"/>
      <family val="2"/>
      <scheme val="minor"/>
    </font>
    <font>
      <sz val="10"/>
      <color indexed="9"/>
      <name val="Calibri"/>
      <family val="2"/>
    </font>
    <font>
      <b/>
      <sz val="10"/>
      <color theme="9" tint="-0.249977111117893"/>
      <name val="Calibri"/>
      <family val="2"/>
    </font>
    <font>
      <sz val="10"/>
      <color rgb="FF000000"/>
      <name val="Calibri"/>
      <family val="2"/>
    </font>
    <font>
      <b/>
      <sz val="10"/>
      <name val="Calibri"/>
      <family val="2"/>
      <scheme val="minor"/>
    </font>
    <font>
      <b/>
      <sz val="9"/>
      <color theme="1"/>
      <name val="Calibri"/>
      <family val="2"/>
      <scheme val="minor"/>
    </font>
    <font>
      <b/>
      <sz val="8"/>
      <name val="Calibri"/>
      <family val="2"/>
      <scheme val="minor"/>
    </font>
    <font>
      <b/>
      <sz val="9"/>
      <name val="Calibri"/>
      <family val="2"/>
      <scheme val="minor"/>
    </font>
    <font>
      <vertAlign val="subscript"/>
      <sz val="8"/>
      <name val="Calibri"/>
      <family val="2"/>
      <scheme val="minor"/>
    </font>
    <font>
      <b/>
      <i/>
      <sz val="9"/>
      <name val="Calibri"/>
      <family val="2"/>
      <scheme val="minor"/>
    </font>
    <font>
      <sz val="8"/>
      <name val="Symbol"/>
      <family val="1"/>
      <charset val="2"/>
    </font>
    <font>
      <b/>
      <sz val="9"/>
      <color indexed="8"/>
      <name val="Calibri"/>
      <family val="2"/>
      <scheme val="minor"/>
    </font>
    <font>
      <sz val="9"/>
      <name val="Calibri"/>
      <family val="2"/>
    </font>
    <font>
      <b/>
      <sz val="20"/>
      <color theme="1"/>
      <name val="Calibri"/>
      <family val="2"/>
      <scheme val="minor"/>
    </font>
    <font>
      <sz val="8"/>
      <color rgb="FFFF0000"/>
      <name val="Calibri"/>
      <family val="2"/>
      <scheme val="minor"/>
    </font>
    <font>
      <sz val="8"/>
      <name val="Calibri"/>
      <family val="2"/>
    </font>
    <font>
      <sz val="11"/>
      <color rgb="FF00B050"/>
      <name val="Calibri"/>
      <family val="2"/>
      <scheme val="minor"/>
    </font>
  </fonts>
  <fills count="93">
    <fill>
      <patternFill patternType="none"/>
    </fill>
    <fill>
      <patternFill patternType="gray125"/>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rgb="FFFFFF00"/>
        <bgColor indexed="64"/>
      </patternFill>
    </fill>
    <fill>
      <patternFill patternType="solid">
        <fgColor rgb="FFFFC7CE"/>
      </patternFill>
    </fill>
    <fill>
      <patternFill patternType="solid">
        <fgColor indexed="42"/>
      </patternFill>
    </fill>
    <fill>
      <patternFill patternType="solid">
        <fgColor indexed="42"/>
        <bgColor indexed="64"/>
      </patternFill>
    </fill>
    <fill>
      <patternFill patternType="solid">
        <fgColor indexed="31"/>
      </patternFill>
    </fill>
    <fill>
      <patternFill patternType="solid">
        <fgColor indexed="45"/>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34998626667073579"/>
        <bgColor indexed="64"/>
      </patternFill>
    </fill>
    <fill>
      <patternFill patternType="solid">
        <fgColor rgb="FF92D050"/>
        <bgColor indexed="64"/>
      </patternFill>
    </fill>
    <fill>
      <patternFill patternType="solid">
        <fgColor indexed="9"/>
        <bgColor indexed="64"/>
      </patternFill>
    </fill>
    <fill>
      <patternFill patternType="solid">
        <fgColor rgb="FFFFCC99"/>
      </patternFill>
    </fill>
    <fill>
      <patternFill patternType="solid">
        <fgColor rgb="FFF2F2F2"/>
      </patternFill>
    </fill>
    <fill>
      <patternFill patternType="solid">
        <fgColor indexed="47"/>
        <bgColor indexed="64"/>
      </patternFill>
    </fill>
    <fill>
      <patternFill patternType="solid">
        <fgColor indexed="55"/>
        <bgColor indexed="64"/>
      </patternFill>
    </fill>
    <fill>
      <patternFill patternType="solid">
        <fgColor theme="0"/>
        <bgColor indexed="64"/>
      </patternFill>
    </fill>
    <fill>
      <patternFill patternType="solid">
        <fgColor rgb="FFBED6EE"/>
        <bgColor indexed="64"/>
      </patternFill>
    </fill>
    <fill>
      <patternFill patternType="solid">
        <fgColor theme="6" tint="0.59996337778862885"/>
        <bgColor indexed="64"/>
      </patternFill>
    </fill>
    <fill>
      <patternFill patternType="solid">
        <fgColor rgb="FFFFC000"/>
        <bgColor indexed="64"/>
      </patternFill>
    </fill>
    <fill>
      <patternFill patternType="solid">
        <fgColor theme="0" tint="-0.24994659260841701"/>
        <bgColor indexed="64"/>
      </patternFill>
    </fill>
    <fill>
      <patternFill patternType="solid">
        <fgColor rgb="FFC6EFCE"/>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indexed="63"/>
        <bgColor indexed="64"/>
      </patternFill>
    </fill>
    <fill>
      <patternFill patternType="solid">
        <fgColor indexed="62"/>
        <bgColor indexed="64"/>
      </patternFill>
    </fill>
    <fill>
      <patternFill patternType="solid">
        <fgColor rgb="FFFFEB9C"/>
      </patternFill>
    </fill>
    <fill>
      <patternFill patternType="solid">
        <fgColor rgb="FFC0504D"/>
        <bgColor indexed="64"/>
      </patternFill>
    </fill>
    <fill>
      <patternFill patternType="solid">
        <fgColor theme="9" tint="-0.249977111117893"/>
        <bgColor indexed="64"/>
      </patternFill>
    </fill>
    <fill>
      <patternFill patternType="solid">
        <fgColor rgb="FFEFD3D2"/>
        <bgColor indexed="64"/>
      </patternFill>
    </fill>
    <fill>
      <patternFill patternType="solid">
        <fgColor rgb="FFDFA7A6"/>
        <bgColor indexed="64"/>
      </patternFill>
    </fill>
    <fill>
      <patternFill patternType="solid">
        <fgColor rgb="FFFF0000"/>
        <bgColor indexed="64"/>
      </patternFill>
    </fill>
    <fill>
      <patternFill patternType="solid">
        <fgColor rgb="FFFDE4D0"/>
        <bgColor indexed="64"/>
      </patternFill>
    </fill>
    <fill>
      <patternFill patternType="solid">
        <fgColor rgb="FFF79646"/>
        <bgColor indexed="64"/>
      </patternFill>
    </fill>
    <fill>
      <patternFill patternType="solid">
        <fgColor rgb="FFFBCAA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indexed="1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rgb="FFFF8080"/>
        <bgColor rgb="FF000000"/>
      </patternFill>
    </fill>
    <fill>
      <patternFill patternType="solid">
        <fgColor rgb="FFFFFF99"/>
        <bgColor rgb="FF000000"/>
      </patternFill>
    </fill>
    <fill>
      <patternFill patternType="solid">
        <fgColor rgb="FFF2F2F2"/>
        <bgColor rgb="FF000000"/>
      </patternFill>
    </fill>
    <fill>
      <patternFill patternType="solid">
        <fgColor rgb="FFFFFFFF"/>
        <bgColor indexed="64"/>
      </patternFill>
    </fill>
    <fill>
      <patternFill patternType="solid">
        <fgColor rgb="FFFFFFFF"/>
      </patternFill>
    </fill>
    <fill>
      <patternFill patternType="solid">
        <fgColor indexed="51"/>
        <bgColor indexed="64"/>
      </patternFill>
    </fill>
  </fills>
  <borders count="73">
    <border>
      <left/>
      <right/>
      <top/>
      <bottom/>
      <diagonal/>
    </border>
    <border>
      <left/>
      <right/>
      <top style="thin">
        <color auto="1"/>
      </top>
      <bottom/>
      <diagonal/>
    </border>
    <border>
      <left/>
      <right style="thin">
        <color auto="1"/>
      </right>
      <top style="thin">
        <color auto="1"/>
      </top>
      <bottom/>
      <diagonal/>
    </border>
    <border>
      <left/>
      <right/>
      <top style="thin">
        <color auto="1"/>
      </top>
      <bottom style="medium">
        <color auto="1"/>
      </bottom>
      <diagonal/>
    </border>
    <border>
      <left/>
      <right style="thin">
        <color auto="1"/>
      </right>
      <top style="thin">
        <color auto="1"/>
      </top>
      <bottom style="medium">
        <color auto="1"/>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auto="1"/>
      </right>
      <top style="thin">
        <color auto="1"/>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medium">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style="thin">
        <color indexed="64"/>
      </top>
      <bottom/>
      <diagonal/>
    </border>
    <border>
      <left style="medium">
        <color rgb="FFFFFFFF"/>
      </left>
      <right style="medium">
        <color rgb="FFFFFFFF"/>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thick">
        <color rgb="FFFFFFFF"/>
      </right>
      <top style="thick">
        <color rgb="FFFFFFFF"/>
      </top>
      <bottom style="medium">
        <color rgb="FFFFFFFF"/>
      </bottom>
      <diagonal/>
    </border>
    <border>
      <left style="medium">
        <color rgb="FFFFFFFF"/>
      </left>
      <right style="thick">
        <color rgb="FFFFFFFF"/>
      </right>
      <top style="medium">
        <color rgb="FFFFFFFF"/>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thick">
        <color rgb="FFFFFFFF"/>
      </right>
      <top style="medium">
        <color rgb="FFFFFFFF"/>
      </top>
      <bottom style="medium">
        <color rgb="FFFFFFFF"/>
      </bottom>
      <diagonal/>
    </border>
    <border>
      <left style="medium">
        <color rgb="FFFFFFFF"/>
      </left>
      <right style="thick">
        <color rgb="FFFFFFFF"/>
      </right>
      <top style="medium">
        <color rgb="FFFFFFFF"/>
      </top>
      <bottom style="medium">
        <color rgb="FFFFFFFF"/>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s>
  <cellStyleXfs count="7723">
    <xf numFmtId="0" fontId="0" fillId="0" borderId="0"/>
    <xf numFmtId="0" fontId="1" fillId="0" borderId="0"/>
    <xf numFmtId="0" fontId="1" fillId="0" borderId="0"/>
    <xf numFmtId="0" fontId="1" fillId="0" borderId="0"/>
    <xf numFmtId="0" fontId="4" fillId="0" borderId="0"/>
    <xf numFmtId="0" fontId="5" fillId="7" borderId="0" applyNumberFormat="0" applyBorder="0" applyAlignment="0" applyProtection="0"/>
    <xf numFmtId="0" fontId="6" fillId="0" borderId="0"/>
    <xf numFmtId="0" fontId="6" fillId="0" borderId="0"/>
    <xf numFmtId="0" fontId="6" fillId="0" borderId="0"/>
    <xf numFmtId="0" fontId="6" fillId="0" borderId="0"/>
    <xf numFmtId="9" fontId="1" fillId="0" borderId="0" applyFont="0" applyFill="0" applyBorder="0" applyAlignment="0" applyProtection="0"/>
    <xf numFmtId="0" fontId="7" fillId="8"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4" borderId="0" applyNumberFormat="0" applyBorder="0" applyAlignment="0" applyProtection="0"/>
    <xf numFmtId="0" fontId="9" fillId="13"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9" fillId="10" borderId="0" applyNumberFormat="0" applyBorder="0" applyAlignment="0" applyProtection="0"/>
    <xf numFmtId="0" fontId="8" fillId="0" borderId="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10" fillId="19"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1" fillId="27" borderId="6" applyNumberFormat="0" applyAlignment="0" applyProtection="0"/>
    <xf numFmtId="0" fontId="12" fillId="0" borderId="7" applyNumberFormat="0" applyFill="0" applyAlignment="0" applyProtection="0"/>
    <xf numFmtId="0" fontId="13" fillId="28" borderId="8" applyNumberFormat="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6" borderId="0" applyNumberFormat="0" applyBorder="0" applyAlignment="0" applyProtection="0"/>
    <xf numFmtId="172"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0" fontId="14" fillId="14" borderId="6"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6" fillId="29" borderId="0" applyNumberFormat="0" applyBorder="0" applyAlignment="0" applyProtection="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9" fillId="0" borderId="0"/>
    <xf numFmtId="0" fontId="9"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8" fillId="30" borderId="12" applyNumberFormat="0" applyFon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7" fillId="27" borderId="13"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3" fillId="0" borderId="0" applyNumberFormat="0" applyFill="0" applyBorder="0" applyAlignment="0" applyProtection="0"/>
    <xf numFmtId="0" fontId="24" fillId="0" borderId="14" applyNumberFormat="0" applyFill="0" applyAlignment="0" applyProtection="0"/>
    <xf numFmtId="0" fontId="25" fillId="11" borderId="0" applyNumberFormat="0" applyBorder="0" applyAlignment="0" applyProtection="0"/>
    <xf numFmtId="9" fontId="38" fillId="0" borderId="0" applyFont="0" applyFill="0" applyBorder="0" applyAlignment="0" applyProtection="0"/>
    <xf numFmtId="9" fontId="1"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0" fontId="16" fillId="29" borderId="0" applyNumberFormat="0" applyBorder="0" applyAlignment="0" applyProtection="0"/>
    <xf numFmtId="0" fontId="24" fillId="0" borderId="14" applyNumberFormat="0" applyFill="0" applyAlignment="0" applyProtection="0"/>
    <xf numFmtId="0" fontId="1" fillId="0" borderId="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0" borderId="12"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4" fillId="0" borderId="0"/>
    <xf numFmtId="176" fontId="1" fillId="0" borderId="0"/>
    <xf numFmtId="3" fontId="1" fillId="38" borderId="22" applyFont="0" applyFill="0" applyBorder="0" applyAlignment="0" applyProtection="0"/>
    <xf numFmtId="0" fontId="1" fillId="0" borderId="0" applyNumberFormat="0" applyFont="0" applyFill="0" applyBorder="0" applyProtection="0">
      <alignment horizontal="left" vertical="center" indent="5"/>
    </xf>
    <xf numFmtId="4" fontId="48" fillId="36" borderId="24">
      <alignment horizontal="right" vertical="center"/>
    </xf>
    <xf numFmtId="4" fontId="48" fillId="36" borderId="24">
      <alignment horizontal="right" vertical="center"/>
    </xf>
    <xf numFmtId="3" fontId="54" fillId="39" borderId="22" applyNumberFormat="0" applyBorder="0" applyAlignment="0" applyProtection="0"/>
    <xf numFmtId="0" fontId="2" fillId="38" borderId="22" applyNumberFormat="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5">
      <alignment horizontal="left" vertical="center" wrapText="1" indent="2"/>
    </xf>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2" fontId="46"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6" fontId="53" fillId="0" borderId="0" applyNumberFormat="0" applyFill="0" applyBorder="0" applyAlignment="0" applyProtection="0">
      <alignment vertical="top"/>
      <protection locked="0"/>
    </xf>
    <xf numFmtId="0" fontId="41" fillId="34" borderId="22" applyNumberFormat="0" applyAlignment="0" applyProtection="0"/>
    <xf numFmtId="4" fontId="49" fillId="0" borderId="0" applyBorder="0">
      <alignment horizontal="right" vertical="center"/>
    </xf>
    <xf numFmtId="168" fontId="9" fillId="0" borderId="0" applyFont="0" applyFill="0" applyBorder="0" applyAlignment="0" applyProtection="0"/>
    <xf numFmtId="168"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0" fontId="55" fillId="0" borderId="0" applyNumberFormat="0" applyFill="0" applyBorder="0" applyAlignment="0" applyProtection="0"/>
    <xf numFmtId="177" fontId="56" fillId="40" borderId="0" applyNumberFormat="0" applyBorder="0" applyAlignment="0" applyProtection="0">
      <alignment horizontal="center" vertical="top" wrapText="1"/>
    </xf>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0" fontId="1" fillId="0" borderId="0"/>
    <xf numFmtId="0" fontId="1" fillId="0" borderId="0"/>
    <xf numFmtId="0" fontId="6" fillId="0" borderId="0"/>
    <xf numFmtId="0" fontId="45" fillId="0" borderId="0" applyFill="0" applyBorder="0"/>
    <xf numFmtId="0" fontId="1" fillId="0" borderId="0"/>
    <xf numFmtId="0" fontId="6" fillId="0" borderId="0"/>
    <xf numFmtId="0" fontId="38" fillId="0" borderId="0"/>
    <xf numFmtId="0" fontId="1" fillId="0" borderId="0"/>
    <xf numFmtId="0" fontId="38" fillId="0" borderId="0"/>
    <xf numFmtId="0" fontId="31" fillId="0" borderId="0"/>
    <xf numFmtId="0" fontId="1" fillId="0" borderId="0"/>
    <xf numFmtId="0" fontId="38" fillId="0" borderId="0"/>
    <xf numFmtId="0" fontId="4" fillId="0" borderId="0"/>
    <xf numFmtId="0" fontId="46" fillId="0" borderId="0"/>
    <xf numFmtId="0" fontId="46" fillId="0" borderId="0"/>
    <xf numFmtId="0" fontId="38" fillId="0" borderId="0"/>
    <xf numFmtId="177" fontId="2" fillId="38" borderId="0" applyNumberFormat="0" applyBorder="0" applyAlignment="0"/>
    <xf numFmtId="4" fontId="49" fillId="0" borderId="24" applyFill="0" applyBorder="0" applyProtection="0">
      <alignment horizontal="right" vertical="center"/>
    </xf>
    <xf numFmtId="0" fontId="50" fillId="0" borderId="0" applyNumberFormat="0" applyFill="0" applyBorder="0" applyProtection="0">
      <alignment horizontal="left" vertical="center"/>
    </xf>
    <xf numFmtId="0" fontId="1" fillId="37" borderId="0" applyNumberFormat="0" applyFont="0" applyBorder="0" applyAlignment="0" applyProtection="0"/>
    <xf numFmtId="0" fontId="47" fillId="0" borderId="0"/>
    <xf numFmtId="0" fontId="1" fillId="30" borderId="12" applyNumberFormat="0" applyFont="0" applyAlignment="0" applyProtection="0"/>
    <xf numFmtId="0" fontId="46" fillId="30" borderId="12" applyNumberFormat="0" applyFont="0" applyAlignment="0" applyProtection="0"/>
    <xf numFmtId="0" fontId="1" fillId="30" borderId="12" applyNumberFormat="0" applyFont="0" applyAlignment="0" applyProtection="0"/>
    <xf numFmtId="0" fontId="1" fillId="30" borderId="12" applyNumberFormat="0" applyFont="0" applyAlignment="0" applyProtection="0"/>
    <xf numFmtId="0" fontId="1" fillId="30" borderId="12" applyNumberFormat="0" applyFont="0" applyAlignment="0" applyProtection="0"/>
    <xf numFmtId="0" fontId="46" fillId="30" borderId="12" applyNumberFormat="0" applyFont="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0" fontId="42" fillId="35" borderId="23" applyNumberFormat="0" applyAlignment="0" applyProtection="0"/>
    <xf numFmtId="0" fontId="57" fillId="41" borderId="0" applyNumberFormat="0" applyAlignment="0" applyProtection="0"/>
    <xf numFmtId="0" fontId="58" fillId="31" borderId="0" applyNumberFormat="0" applyAlignment="0" applyProtection="0"/>
    <xf numFmtId="0" fontId="59" fillId="42" borderId="0" applyNumberFormat="0" applyAlignment="0" applyProtection="0"/>
    <xf numFmtId="177" fontId="39" fillId="33" borderId="0" applyNumberFormat="0" applyFill="0" applyBorder="0" applyAlignment="0">
      <alignment horizontal="center"/>
    </xf>
    <xf numFmtId="9" fontId="46"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8" fillId="0" borderId="0" applyFont="0" applyFill="0" applyBorder="0" applyAlignment="0" applyProtection="0"/>
    <xf numFmtId="0" fontId="1" fillId="0" borderId="0"/>
    <xf numFmtId="0" fontId="60" fillId="35" borderId="22" applyNumberFormat="0" applyFill="0" applyBorder="0" applyAlignment="0" applyProtection="0"/>
    <xf numFmtId="0" fontId="52" fillId="35" borderId="22" applyFill="0" applyBorder="0" applyAlignment="0" applyProtection="0"/>
    <xf numFmtId="4" fontId="49" fillId="0" borderId="0"/>
    <xf numFmtId="0" fontId="38" fillId="0" borderId="0"/>
    <xf numFmtId="168" fontId="38" fillId="0" borderId="0" applyFont="0" applyFill="0" applyBorder="0" applyAlignment="0" applyProtection="0"/>
    <xf numFmtId="0" fontId="1" fillId="0" borderId="0"/>
    <xf numFmtId="0" fontId="5" fillId="7" borderId="0" applyNumberFormat="0" applyBorder="0" applyAlignment="0" applyProtection="0"/>
    <xf numFmtId="0" fontId="43" fillId="35" borderId="22"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 fillId="0" borderId="0"/>
    <xf numFmtId="0" fontId="4" fillId="0" borderId="0"/>
    <xf numFmtId="0" fontId="4" fillId="0" borderId="0"/>
    <xf numFmtId="176" fontId="1" fillId="0" borderId="0"/>
    <xf numFmtId="3" fontId="1" fillId="38" borderId="22" applyFont="0" applyFill="0" applyBorder="0" applyAlignment="0" applyProtection="0"/>
    <xf numFmtId="0" fontId="1" fillId="0" borderId="0" applyNumberFormat="0" applyFont="0" applyFill="0" applyBorder="0" applyProtection="0">
      <alignment horizontal="left" vertical="center" indent="5"/>
    </xf>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37" borderId="0" applyNumberFormat="0" applyFon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0" borderId="12" applyNumberFormat="0" applyFont="0" applyAlignment="0" applyProtection="0"/>
    <xf numFmtId="0" fontId="1" fillId="30" borderId="12" applyNumberFormat="0" applyFont="0" applyAlignment="0" applyProtection="0"/>
    <xf numFmtId="0" fontId="1" fillId="30" borderId="12" applyNumberFormat="0" applyFont="0" applyAlignment="0" applyProtection="0"/>
    <xf numFmtId="0" fontId="1" fillId="30" borderId="12" applyNumberFormat="0" applyFont="0" applyAlignment="0" applyProtection="0"/>
    <xf numFmtId="0" fontId="1" fillId="30" borderId="12"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0" fontId="38" fillId="0" borderId="0"/>
    <xf numFmtId="168" fontId="38" fillId="0" borderId="0" applyFont="0" applyFill="0" applyBorder="0" applyAlignment="0" applyProtection="0"/>
    <xf numFmtId="0" fontId="4" fillId="0" borderId="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8"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62" fillId="49" borderId="0" applyNumberFormat="0" applyBorder="0" applyAlignment="0" applyProtection="0"/>
    <xf numFmtId="0" fontId="62" fillId="53" borderId="0" applyNumberFormat="0" applyBorder="0" applyAlignment="0" applyProtection="0"/>
    <xf numFmtId="0" fontId="62" fillId="57" borderId="0" applyNumberFormat="0" applyBorder="0" applyAlignment="0" applyProtection="0"/>
    <xf numFmtId="0" fontId="62" fillId="61" borderId="0" applyNumberFormat="0" applyBorder="0" applyAlignment="0" applyProtection="0"/>
    <xf numFmtId="0" fontId="62" fillId="65" borderId="0" applyNumberFormat="0" applyBorder="0" applyAlignment="0" applyProtection="0"/>
    <xf numFmtId="0" fontId="62" fillId="69" borderId="0" applyNumberFormat="0" applyBorder="0" applyAlignment="0" applyProtection="0"/>
    <xf numFmtId="0" fontId="3" fillId="7" borderId="0" applyNumberFormat="0" applyBorder="0" applyAlignment="0" applyProtection="0"/>
    <xf numFmtId="0" fontId="11" fillId="27" borderId="6" applyNumberFormat="0" applyAlignment="0" applyProtection="0"/>
    <xf numFmtId="0" fontId="11" fillId="27" borderId="6" applyNumberFormat="0" applyAlignment="0" applyProtection="0"/>
    <xf numFmtId="0" fontId="11" fillId="27" borderId="6" applyNumberFormat="0" applyAlignment="0" applyProtection="0"/>
    <xf numFmtId="168" fontId="46" fillId="0" borderId="0" applyFont="0" applyFill="0" applyBorder="0" applyAlignment="0" applyProtection="0"/>
    <xf numFmtId="165"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5">
      <alignment horizontal="left" vertical="center" wrapText="1" indent="2"/>
    </xf>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0" fontId="65" fillId="43" borderId="0" applyNumberFormat="0" applyBorder="0" applyAlignment="0" applyProtection="0"/>
    <xf numFmtId="176" fontId="53" fillId="0" borderId="0" applyNumberFormat="0" applyFill="0" applyBorder="0" applyAlignment="0" applyProtection="0">
      <alignment vertical="top"/>
      <protection locked="0"/>
    </xf>
    <xf numFmtId="0" fontId="14" fillId="14" borderId="6" applyNumberFormat="0" applyAlignment="0" applyProtection="0"/>
    <xf numFmtId="0" fontId="14" fillId="14" borderId="6" applyNumberFormat="0" applyAlignment="0" applyProtection="0"/>
    <xf numFmtId="0" fontId="14" fillId="14" borderId="6" applyNumberFormat="0" applyAlignment="0" applyProtection="0"/>
    <xf numFmtId="0" fontId="14" fillId="14" borderId="6" applyNumberFormat="0" applyAlignment="0" applyProtection="0"/>
    <xf numFmtId="0" fontId="41" fillId="34" borderId="22" applyNumberFormat="0" applyAlignment="0" applyProtection="0"/>
    <xf numFmtId="43" fontId="38" fillId="0" borderId="0" applyFont="0" applyFill="0" applyBorder="0" applyAlignment="0" applyProtection="0"/>
    <xf numFmtId="0" fontId="61" fillId="44" borderId="26" applyNumberFormat="0" applyAlignment="0" applyProtection="0"/>
    <xf numFmtId="0" fontId="62" fillId="46" borderId="0" applyNumberFormat="0" applyBorder="0" applyAlignment="0" applyProtection="0"/>
    <xf numFmtId="0" fontId="62" fillId="50" borderId="0" applyNumberFormat="0" applyBorder="0" applyAlignment="0" applyProtection="0"/>
    <xf numFmtId="0" fontId="62" fillId="54" borderId="0" applyNumberFormat="0" applyBorder="0" applyAlignment="0" applyProtection="0"/>
    <xf numFmtId="0" fontId="62" fillId="58" borderId="0" applyNumberFormat="0" applyBorder="0" applyAlignment="0" applyProtection="0"/>
    <xf numFmtId="0" fontId="62" fillId="62" borderId="0" applyNumberFormat="0" applyBorder="0" applyAlignment="0" applyProtection="0"/>
    <xf numFmtId="0" fontId="62" fillId="66" borderId="0" applyNumberFormat="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0" fontId="16" fillId="29" borderId="0" applyNumberFormat="0" applyBorder="0" applyAlignment="0" applyProtection="0"/>
    <xf numFmtId="0" fontId="38"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38" fillId="0" borderId="0"/>
    <xf numFmtId="0" fontId="38" fillId="0" borderId="0"/>
    <xf numFmtId="0" fontId="38" fillId="0" borderId="0"/>
    <xf numFmtId="0" fontId="6"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5" fillId="0" borderId="0" applyFill="0" applyBorder="0"/>
    <xf numFmtId="0" fontId="38" fillId="0" borderId="0"/>
    <xf numFmtId="0" fontId="1" fillId="0" borderId="0"/>
    <xf numFmtId="0" fontId="38"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0" fontId="4" fillId="0" borderId="0"/>
    <xf numFmtId="0" fontId="38" fillId="0" borderId="0"/>
    <xf numFmtId="0" fontId="38" fillId="0" borderId="0"/>
    <xf numFmtId="0" fontId="1" fillId="0" borderId="0"/>
    <xf numFmtId="0" fontId="1" fillId="0" borderId="0"/>
    <xf numFmtId="0" fontId="1"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177" fontId="2" fillId="38" borderId="0" applyNumberFormat="0" applyBorder="0" applyAlignment="0"/>
    <xf numFmtId="4" fontId="49" fillId="0" borderId="24" applyFill="0" applyBorder="0" applyProtection="0">
      <alignment horizontal="right" vertical="center"/>
    </xf>
    <xf numFmtId="4" fontId="49" fillId="0" borderId="24" applyFill="0" applyBorder="0" applyProtection="0">
      <alignment horizontal="right" vertical="center"/>
    </xf>
    <xf numFmtId="0" fontId="9" fillId="0" borderId="0"/>
    <xf numFmtId="0" fontId="9" fillId="0" borderId="0"/>
    <xf numFmtId="0" fontId="46" fillId="30" borderId="12" applyNumberFormat="0" applyFont="0" applyAlignment="0" applyProtection="0"/>
    <xf numFmtId="0" fontId="46" fillId="30" borderId="12" applyNumberFormat="0" applyFont="0" applyAlignment="0" applyProtection="0"/>
    <xf numFmtId="0" fontId="1" fillId="30" borderId="12" applyNumberFormat="0" applyFont="0" applyAlignment="0" applyProtection="0"/>
    <xf numFmtId="0" fontId="46" fillId="30" borderId="12" applyNumberFormat="0" applyFont="0" applyAlignment="0" applyProtection="0"/>
    <xf numFmtId="0" fontId="1" fillId="30" borderId="12" applyNumberFormat="0" applyFont="0" applyAlignment="0" applyProtection="0"/>
    <xf numFmtId="0" fontId="38" fillId="45" borderId="27" applyNumberFormat="0" applyFont="0" applyAlignment="0" applyProtection="0"/>
    <xf numFmtId="0" fontId="38" fillId="45" borderId="27" applyNumberFormat="0" applyFont="0" applyAlignment="0" applyProtection="0"/>
    <xf numFmtId="0" fontId="38" fillId="45" borderId="27" applyNumberFormat="0" applyFont="0" applyAlignment="0" applyProtection="0"/>
    <xf numFmtId="0" fontId="38" fillId="45" borderId="27" applyNumberFormat="0" applyFont="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0" fontId="17" fillId="27" borderId="13" applyNumberFormat="0" applyAlignment="0" applyProtection="0"/>
    <xf numFmtId="0" fontId="17" fillId="27" borderId="13" applyNumberFormat="0" applyAlignment="0" applyProtection="0"/>
    <xf numFmtId="0" fontId="17" fillId="27" borderId="13" applyNumberFormat="0" applyAlignment="0" applyProtection="0"/>
    <xf numFmtId="0" fontId="17" fillId="27" borderId="13" applyNumberFormat="0" applyAlignment="0" applyProtection="0"/>
    <xf numFmtId="0" fontId="42" fillId="35" borderId="23" applyNumberFormat="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66" fillId="71" borderId="24" applyNumberFormat="0" applyProtection="0">
      <alignment horizontal="right"/>
    </xf>
    <xf numFmtId="0" fontId="67" fillId="71" borderId="0" applyNumberFormat="0" applyBorder="0" applyProtection="0">
      <alignment horizontal="left"/>
    </xf>
    <xf numFmtId="0" fontId="66" fillId="71" borderId="24" applyNumberFormat="0" applyProtection="0">
      <alignment horizontal="left"/>
    </xf>
    <xf numFmtId="49" fontId="1" fillId="0" borderId="24" applyFill="0" applyProtection="0">
      <alignment horizontal="right"/>
    </xf>
    <xf numFmtId="0" fontId="68" fillId="72" borderId="0" applyNumberFormat="0" applyBorder="0" applyProtection="0">
      <alignment horizontal="left"/>
    </xf>
    <xf numFmtId="1" fontId="1" fillId="0" borderId="24" applyFill="0" applyProtection="0">
      <alignment horizontal="right" vertical="top" wrapText="1"/>
    </xf>
    <xf numFmtId="2" fontId="1" fillId="0" borderId="24" applyFill="0" applyProtection="0">
      <alignment horizontal="right" vertical="top" wrapText="1"/>
    </xf>
    <xf numFmtId="0" fontId="1" fillId="0" borderId="24" applyFill="0" applyProtection="0">
      <alignment horizontal="right" vertical="top" wrapText="1"/>
    </xf>
    <xf numFmtId="0" fontId="66" fillId="71" borderId="24" applyNumberFormat="0" applyProtection="0">
      <alignment horizontal="right"/>
    </xf>
    <xf numFmtId="0" fontId="67" fillId="71" borderId="0" applyNumberFormat="0" applyBorder="0" applyProtection="0">
      <alignment horizontal="left"/>
    </xf>
    <xf numFmtId="0" fontId="66" fillId="71" borderId="24" applyNumberFormat="0" applyProtection="0">
      <alignment horizontal="left"/>
    </xf>
    <xf numFmtId="49" fontId="1" fillId="0" borderId="24" applyFill="0" applyProtection="0">
      <alignment horizontal="right"/>
    </xf>
    <xf numFmtId="0" fontId="68" fillId="72" borderId="0" applyNumberFormat="0" applyBorder="0" applyProtection="0">
      <alignment horizontal="left"/>
    </xf>
    <xf numFmtId="1" fontId="1" fillId="0" borderId="24" applyFill="0" applyProtection="0">
      <alignment horizontal="right" vertical="top" wrapText="1"/>
    </xf>
    <xf numFmtId="2" fontId="1" fillId="0" borderId="24" applyFill="0" applyProtection="0">
      <alignment horizontal="right" vertical="top" wrapText="1"/>
    </xf>
    <xf numFmtId="0" fontId="1" fillId="0" borderId="24" applyFill="0" applyProtection="0">
      <alignment horizontal="right" vertical="top" wrapText="1"/>
    </xf>
    <xf numFmtId="0" fontId="66" fillId="71" borderId="24" applyNumberFormat="0" applyProtection="0">
      <alignment horizontal="right"/>
    </xf>
    <xf numFmtId="0" fontId="67" fillId="71" borderId="0" applyNumberFormat="0" applyBorder="0" applyProtection="0">
      <alignment horizontal="left"/>
    </xf>
    <xf numFmtId="0" fontId="66" fillId="71" borderId="24" applyNumberFormat="0" applyProtection="0">
      <alignment horizontal="left"/>
    </xf>
    <xf numFmtId="49" fontId="1" fillId="0" borderId="24" applyFill="0" applyProtection="0">
      <alignment horizontal="right"/>
    </xf>
    <xf numFmtId="0" fontId="68" fillId="72" borderId="0" applyNumberFormat="0" applyBorder="0" applyProtection="0">
      <alignment horizontal="left"/>
    </xf>
    <xf numFmtId="1" fontId="1" fillId="0" borderId="24" applyFill="0" applyProtection="0">
      <alignment horizontal="right" vertical="top" wrapText="1"/>
    </xf>
    <xf numFmtId="2" fontId="1" fillId="0" borderId="24" applyFill="0" applyProtection="0">
      <alignment horizontal="right" vertical="top" wrapText="1"/>
    </xf>
    <xf numFmtId="0" fontId="1" fillId="0" borderId="24" applyFill="0" applyProtection="0">
      <alignment horizontal="right" vertical="top" wrapText="1"/>
    </xf>
    <xf numFmtId="0" fontId="66" fillId="71" borderId="24" applyNumberFormat="0" applyProtection="0">
      <alignment horizontal="right"/>
    </xf>
    <xf numFmtId="1" fontId="1" fillId="0" borderId="24" applyFill="0" applyProtection="0">
      <alignment horizontal="right" vertical="top" wrapText="1"/>
    </xf>
    <xf numFmtId="2" fontId="1" fillId="0" borderId="24" applyFill="0" applyProtection="0">
      <alignment horizontal="right" vertical="top" wrapText="1"/>
    </xf>
    <xf numFmtId="0" fontId="1" fillId="0" borderId="24" applyFill="0" applyProtection="0">
      <alignment horizontal="right" vertical="top" wrapText="1"/>
    </xf>
    <xf numFmtId="0" fontId="66" fillId="71" borderId="24" applyNumberFormat="0" applyProtection="0">
      <alignment horizontal="right"/>
    </xf>
    <xf numFmtId="0" fontId="67" fillId="71" borderId="0" applyNumberFormat="0" applyBorder="0" applyProtection="0">
      <alignment horizontal="left"/>
    </xf>
    <xf numFmtId="0" fontId="66" fillId="71" borderId="24" applyNumberFormat="0" applyProtection="0">
      <alignment horizontal="left"/>
    </xf>
    <xf numFmtId="49" fontId="1" fillId="0" borderId="24" applyFill="0" applyProtection="0">
      <alignment horizontal="right"/>
    </xf>
    <xf numFmtId="0" fontId="68" fillId="72" borderId="0" applyNumberFormat="0" applyBorder="0" applyProtection="0">
      <alignment horizontal="left"/>
    </xf>
    <xf numFmtId="1" fontId="1" fillId="0" borderId="24" applyFill="0" applyProtection="0">
      <alignment horizontal="right" vertical="top" wrapText="1"/>
    </xf>
    <xf numFmtId="2" fontId="1" fillId="0" borderId="24" applyFill="0" applyProtection="0">
      <alignment horizontal="right" vertical="top" wrapText="1"/>
    </xf>
    <xf numFmtId="0" fontId="1" fillId="0" borderId="24" applyFill="0" applyProtection="0">
      <alignment horizontal="right" vertical="top" wrapText="1"/>
    </xf>
    <xf numFmtId="0" fontId="66" fillId="71" borderId="24" applyNumberFormat="0" applyProtection="0">
      <alignment horizontal="right"/>
    </xf>
    <xf numFmtId="0" fontId="67" fillId="71" borderId="0" applyNumberFormat="0" applyBorder="0" applyProtection="0">
      <alignment horizontal="left"/>
    </xf>
    <xf numFmtId="0" fontId="66" fillId="71" borderId="24" applyNumberFormat="0" applyProtection="0">
      <alignment horizontal="left"/>
    </xf>
    <xf numFmtId="49" fontId="1" fillId="0" borderId="24" applyFill="0" applyProtection="0">
      <alignment horizontal="right"/>
    </xf>
    <xf numFmtId="0" fontId="68" fillId="72" borderId="0" applyNumberFormat="0" applyBorder="0" applyProtection="0">
      <alignment horizontal="left"/>
    </xf>
    <xf numFmtId="1" fontId="1" fillId="0" borderId="24" applyFill="0" applyProtection="0">
      <alignment horizontal="right" vertical="top" wrapText="1"/>
    </xf>
    <xf numFmtId="2" fontId="1" fillId="0" borderId="24" applyFill="0" applyProtection="0">
      <alignment horizontal="right" vertical="top" wrapText="1"/>
    </xf>
    <xf numFmtId="0" fontId="1" fillId="0" borderId="24" applyFill="0" applyProtection="0">
      <alignment horizontal="right" vertical="top" wrapText="1"/>
    </xf>
    <xf numFmtId="0" fontId="66" fillId="71" borderId="24" applyNumberFormat="0" applyProtection="0">
      <alignment horizontal="right"/>
    </xf>
    <xf numFmtId="0" fontId="67" fillId="71" borderId="0" applyNumberFormat="0" applyBorder="0" applyProtection="0">
      <alignment horizontal="left"/>
    </xf>
    <xf numFmtId="0" fontId="66" fillId="71" borderId="24" applyNumberFormat="0" applyProtection="0">
      <alignment horizontal="left"/>
    </xf>
    <xf numFmtId="49" fontId="1" fillId="0" borderId="24" applyFill="0" applyProtection="0">
      <alignment horizontal="right"/>
    </xf>
    <xf numFmtId="0" fontId="68" fillId="72" borderId="0" applyNumberFormat="0" applyBorder="0" applyProtection="0">
      <alignment horizontal="left"/>
    </xf>
    <xf numFmtId="1" fontId="1" fillId="0" borderId="24" applyFill="0" applyProtection="0">
      <alignment horizontal="right" vertical="top" wrapText="1"/>
    </xf>
    <xf numFmtId="2" fontId="1" fillId="0" borderId="24" applyFill="0" applyProtection="0">
      <alignment horizontal="right" vertical="top" wrapText="1"/>
    </xf>
    <xf numFmtId="0" fontId="1" fillId="0" borderId="24" applyFill="0" applyProtection="0">
      <alignment horizontal="right" vertical="top" wrapText="1"/>
    </xf>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4" fillId="0" borderId="14" applyNumberFormat="0" applyFill="0" applyAlignment="0" applyProtection="0"/>
    <xf numFmtId="0" fontId="24" fillId="0" borderId="14" applyNumberFormat="0" applyFill="0" applyAlignment="0" applyProtection="0"/>
    <xf numFmtId="0" fontId="24" fillId="0" borderId="14" applyNumberFormat="0" applyFill="0" applyAlignment="0" applyProtection="0"/>
    <xf numFmtId="0" fontId="24" fillId="0" borderId="14" applyNumberFormat="0" applyFill="0" applyAlignment="0" applyProtection="0"/>
    <xf numFmtId="0" fontId="24" fillId="0" borderId="14" applyNumberFormat="0" applyFill="0" applyAlignment="0" applyProtection="0"/>
    <xf numFmtId="0" fontId="24" fillId="0" borderId="14" applyNumberFormat="0" applyFill="0" applyAlignment="0" applyProtection="0"/>
    <xf numFmtId="0" fontId="1" fillId="0" borderId="0"/>
    <xf numFmtId="0" fontId="55" fillId="0" borderId="0" applyNumberFormat="0" applyFill="0" applyBorder="0" applyAlignment="0" applyProtection="0"/>
    <xf numFmtId="0" fontId="69" fillId="0" borderId="0" applyNumberFormat="0" applyFill="0" applyBorder="0" applyAlignment="0" applyProtection="0"/>
    <xf numFmtId="0" fontId="5" fillId="7"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0" fontId="49" fillId="0" borderId="29">
      <alignment horizontal="left" vertical="center" wrapText="1" indent="2"/>
    </xf>
    <xf numFmtId="0" fontId="49" fillId="0" borderId="29">
      <alignment horizontal="left" vertical="center" wrapText="1" indent="2"/>
    </xf>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71" fillId="0" borderId="0" applyNumberFormat="0" applyFill="0" applyBorder="0" applyAlignment="0" applyProtection="0"/>
    <xf numFmtId="168" fontId="6"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72" fillId="73" borderId="0" applyNumberFormat="0" applyBorder="0" applyAlignment="0" applyProtection="0"/>
    <xf numFmtId="0" fontId="6" fillId="0" borderId="0"/>
    <xf numFmtId="0" fontId="1" fillId="0" borderId="0"/>
    <xf numFmtId="0" fontId="4" fillId="0" borderId="0"/>
    <xf numFmtId="0" fontId="1" fillId="0" borderId="0"/>
    <xf numFmtId="0" fontId="1" fillId="0" borderId="0"/>
    <xf numFmtId="0" fontId="4" fillId="0" borderId="0"/>
    <xf numFmtId="4" fontId="49" fillId="0" borderId="28" applyFill="0" applyBorder="0" applyProtection="0">
      <alignment horizontal="right" vertical="center"/>
    </xf>
    <xf numFmtId="4" fontId="49" fillId="0" borderId="28" applyFill="0" applyBorder="0" applyProtection="0">
      <alignment horizontal="right" vertical="center"/>
    </xf>
    <xf numFmtId="4" fontId="49" fillId="0" borderId="28" applyFill="0" applyBorder="0" applyProtection="0">
      <alignment horizontal="right" vertical="center"/>
    </xf>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66" fillId="71" borderId="28" applyNumberFormat="0" applyProtection="0">
      <alignment horizontal="right"/>
    </xf>
    <xf numFmtId="0" fontId="66" fillId="71" borderId="28" applyNumberFormat="0" applyProtection="0">
      <alignment horizontal="left"/>
    </xf>
    <xf numFmtId="49" fontId="1" fillId="0" borderId="28" applyFill="0" applyProtection="0">
      <alignment horizontal="right"/>
    </xf>
    <xf numFmtId="1" fontId="1" fillId="0" borderId="28" applyFill="0" applyProtection="0">
      <alignment horizontal="right" vertical="top" wrapText="1"/>
    </xf>
    <xf numFmtId="2" fontId="1" fillId="0" borderId="28" applyFill="0" applyProtection="0">
      <alignment horizontal="right" vertical="top" wrapText="1"/>
    </xf>
    <xf numFmtId="0" fontId="1" fillId="0" borderId="28" applyFill="0" applyProtection="0">
      <alignment horizontal="right" vertical="top" wrapText="1"/>
    </xf>
    <xf numFmtId="0" fontId="66" fillId="71" borderId="28" applyNumberFormat="0" applyProtection="0">
      <alignment horizontal="right"/>
    </xf>
    <xf numFmtId="0" fontId="66" fillId="71" borderId="28" applyNumberFormat="0" applyProtection="0">
      <alignment horizontal="left"/>
    </xf>
    <xf numFmtId="49" fontId="1" fillId="0" borderId="28" applyFill="0" applyProtection="0">
      <alignment horizontal="right"/>
    </xf>
    <xf numFmtId="1" fontId="1" fillId="0" borderId="28" applyFill="0" applyProtection="0">
      <alignment horizontal="right" vertical="top" wrapText="1"/>
    </xf>
    <xf numFmtId="2" fontId="1" fillId="0" borderId="28" applyFill="0" applyProtection="0">
      <alignment horizontal="right" vertical="top" wrapText="1"/>
    </xf>
    <xf numFmtId="0" fontId="1" fillId="0" borderId="28" applyFill="0" applyProtection="0">
      <alignment horizontal="right" vertical="top" wrapText="1"/>
    </xf>
    <xf numFmtId="0" fontId="66" fillId="71" borderId="28" applyNumberFormat="0" applyProtection="0">
      <alignment horizontal="right"/>
    </xf>
    <xf numFmtId="0" fontId="66" fillId="71" borderId="28" applyNumberFormat="0" applyProtection="0">
      <alignment horizontal="left"/>
    </xf>
    <xf numFmtId="49" fontId="1" fillId="0" borderId="28" applyFill="0" applyProtection="0">
      <alignment horizontal="right"/>
    </xf>
    <xf numFmtId="1" fontId="1" fillId="0" borderId="28" applyFill="0" applyProtection="0">
      <alignment horizontal="right" vertical="top" wrapText="1"/>
    </xf>
    <xf numFmtId="2" fontId="1" fillId="0" borderId="28" applyFill="0" applyProtection="0">
      <alignment horizontal="right" vertical="top" wrapText="1"/>
    </xf>
    <xf numFmtId="0" fontId="1" fillId="0" borderId="28" applyFill="0" applyProtection="0">
      <alignment horizontal="right" vertical="top" wrapText="1"/>
    </xf>
    <xf numFmtId="0" fontId="66" fillId="71" borderId="28" applyNumberFormat="0" applyProtection="0">
      <alignment horizontal="right"/>
    </xf>
    <xf numFmtId="1" fontId="1" fillId="0" borderId="28" applyFill="0" applyProtection="0">
      <alignment horizontal="right" vertical="top" wrapText="1"/>
    </xf>
    <xf numFmtId="2" fontId="1" fillId="0" borderId="28" applyFill="0" applyProtection="0">
      <alignment horizontal="right" vertical="top" wrapText="1"/>
    </xf>
    <xf numFmtId="0" fontId="1" fillId="0" borderId="28" applyFill="0" applyProtection="0">
      <alignment horizontal="right" vertical="top" wrapText="1"/>
    </xf>
    <xf numFmtId="0" fontId="66" fillId="71" borderId="28" applyNumberFormat="0" applyProtection="0">
      <alignment horizontal="right"/>
    </xf>
    <xf numFmtId="0" fontId="66" fillId="71" borderId="28" applyNumberFormat="0" applyProtection="0">
      <alignment horizontal="left"/>
    </xf>
    <xf numFmtId="49" fontId="1" fillId="0" borderId="28" applyFill="0" applyProtection="0">
      <alignment horizontal="right"/>
    </xf>
    <xf numFmtId="1" fontId="1" fillId="0" borderId="28" applyFill="0" applyProtection="0">
      <alignment horizontal="right" vertical="top" wrapText="1"/>
    </xf>
    <xf numFmtId="2" fontId="1" fillId="0" borderId="28" applyFill="0" applyProtection="0">
      <alignment horizontal="right" vertical="top" wrapText="1"/>
    </xf>
    <xf numFmtId="0" fontId="1" fillId="0" borderId="28" applyFill="0" applyProtection="0">
      <alignment horizontal="right" vertical="top" wrapText="1"/>
    </xf>
    <xf numFmtId="0" fontId="66" fillId="71" borderId="28" applyNumberFormat="0" applyProtection="0">
      <alignment horizontal="right"/>
    </xf>
    <xf numFmtId="0" fontId="66" fillId="71" borderId="28" applyNumberFormat="0" applyProtection="0">
      <alignment horizontal="left"/>
    </xf>
    <xf numFmtId="49" fontId="1" fillId="0" borderId="28" applyFill="0" applyProtection="0">
      <alignment horizontal="right"/>
    </xf>
    <xf numFmtId="1" fontId="1" fillId="0" borderId="28" applyFill="0" applyProtection="0">
      <alignment horizontal="right" vertical="top" wrapText="1"/>
    </xf>
    <xf numFmtId="2" fontId="1" fillId="0" borderId="28" applyFill="0" applyProtection="0">
      <alignment horizontal="right" vertical="top" wrapText="1"/>
    </xf>
    <xf numFmtId="0" fontId="1" fillId="0" borderId="28" applyFill="0" applyProtection="0">
      <alignment horizontal="right" vertical="top" wrapText="1"/>
    </xf>
    <xf numFmtId="0" fontId="66" fillId="71" borderId="28" applyNumberFormat="0" applyProtection="0">
      <alignment horizontal="right"/>
    </xf>
    <xf numFmtId="0" fontId="66" fillId="71" borderId="28" applyNumberFormat="0" applyProtection="0">
      <alignment horizontal="left"/>
    </xf>
    <xf numFmtId="49" fontId="1" fillId="0" borderId="28" applyFill="0" applyProtection="0">
      <alignment horizontal="right"/>
    </xf>
    <xf numFmtId="1" fontId="1" fillId="0" borderId="28" applyFill="0" applyProtection="0">
      <alignment horizontal="right" vertical="top" wrapText="1"/>
    </xf>
    <xf numFmtId="2" fontId="1" fillId="0" borderId="28" applyFill="0" applyProtection="0">
      <alignment horizontal="right" vertical="top" wrapText="1"/>
    </xf>
    <xf numFmtId="0" fontId="1" fillId="0" borderId="28" applyFill="0" applyProtection="0">
      <alignment horizontal="right" vertical="top" wrapText="1"/>
    </xf>
    <xf numFmtId="9" fontId="4" fillId="0" borderId="0" applyFont="0" applyFill="0" applyBorder="0" applyAlignment="0" applyProtection="0"/>
    <xf numFmtId="0" fontId="38" fillId="0" borderId="0"/>
    <xf numFmtId="168" fontId="4"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8" fontId="9" fillId="0" borderId="0" applyFont="0" applyFill="0" applyBorder="0" applyAlignment="0" applyProtection="0"/>
    <xf numFmtId="167" fontId="1" fillId="0" borderId="0" applyFont="0" applyFill="0" applyBorder="0" applyAlignment="0" applyProtection="0"/>
    <xf numFmtId="168" fontId="6"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7" applyNumberFormat="0" applyFont="0" applyAlignment="0" applyProtection="0"/>
    <xf numFmtId="0" fontId="38" fillId="45" borderId="27" applyNumberFormat="0" applyFont="0" applyAlignment="0" applyProtection="0"/>
    <xf numFmtId="0" fontId="38" fillId="45" borderId="27" applyNumberFormat="0" applyFont="0" applyAlignment="0" applyProtection="0"/>
    <xf numFmtId="0" fontId="38" fillId="45" borderId="27"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168" fontId="4"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7" applyNumberFormat="0" applyFont="0" applyAlignment="0" applyProtection="0"/>
    <xf numFmtId="0" fontId="38" fillId="45" borderId="27" applyNumberFormat="0" applyFont="0" applyAlignment="0" applyProtection="0"/>
    <xf numFmtId="0" fontId="38" fillId="45" borderId="27" applyNumberFormat="0" applyFont="0" applyAlignment="0" applyProtection="0"/>
    <xf numFmtId="0" fontId="38" fillId="45" borderId="27"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7" applyNumberFormat="0" applyFont="0" applyAlignment="0" applyProtection="0"/>
    <xf numFmtId="0" fontId="38" fillId="45" borderId="27" applyNumberFormat="0" applyFont="0" applyAlignment="0" applyProtection="0"/>
    <xf numFmtId="0" fontId="38" fillId="45" borderId="27" applyNumberFormat="0" applyFont="0" applyAlignment="0" applyProtection="0"/>
    <xf numFmtId="0" fontId="38" fillId="45" borderId="27"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11" fillId="27" borderId="31" applyNumberFormat="0" applyAlignment="0" applyProtection="0"/>
    <xf numFmtId="0" fontId="14" fillId="14" borderId="31" applyNumberFormat="0" applyAlignment="0" applyProtection="0"/>
    <xf numFmtId="0" fontId="1" fillId="30" borderId="32" applyNumberFormat="0" applyFont="0" applyAlignment="0" applyProtection="0"/>
    <xf numFmtId="0" fontId="1" fillId="30" borderId="32" applyNumberFormat="0" applyFont="0" applyAlignment="0" applyProtection="0"/>
    <xf numFmtId="0" fontId="49" fillId="0" borderId="34">
      <alignment horizontal="left" vertical="center" wrapText="1" indent="2"/>
    </xf>
    <xf numFmtId="4" fontId="49" fillId="0" borderId="33" applyFill="0" applyBorder="0" applyProtection="0">
      <alignment horizontal="right" vertical="center"/>
    </xf>
    <xf numFmtId="0" fontId="1" fillId="30" borderId="32" applyNumberFormat="0" applyFont="0" applyAlignment="0" applyProtection="0"/>
    <xf numFmtId="0" fontId="46" fillId="30" borderId="32" applyNumberFormat="0" applyFont="0" applyAlignment="0" applyProtection="0"/>
    <xf numFmtId="0" fontId="1" fillId="30" borderId="32" applyNumberFormat="0" applyFont="0" applyAlignment="0" applyProtection="0"/>
    <xf numFmtId="0" fontId="1" fillId="30" borderId="32" applyNumberFormat="0" applyFont="0" applyAlignment="0" applyProtection="0"/>
    <xf numFmtId="0" fontId="1" fillId="30" borderId="32" applyNumberFormat="0" applyFont="0" applyAlignment="0" applyProtection="0"/>
    <xf numFmtId="0" fontId="46" fillId="30" borderId="32" applyNumberFormat="0" applyFont="0" applyAlignment="0" applyProtection="0"/>
    <xf numFmtId="0" fontId="1" fillId="30" borderId="32" applyNumberFormat="0" applyFont="0" applyAlignment="0" applyProtection="0"/>
    <xf numFmtId="0" fontId="1" fillId="30" borderId="32" applyNumberFormat="0" applyFont="0" applyAlignment="0" applyProtection="0"/>
    <xf numFmtId="0" fontId="1" fillId="30" borderId="32" applyNumberFormat="0" applyFont="0" applyAlignment="0" applyProtection="0"/>
    <xf numFmtId="0" fontId="1" fillId="30" borderId="32" applyNumberFormat="0" applyFont="0" applyAlignment="0" applyProtection="0"/>
    <xf numFmtId="0" fontId="1" fillId="30" borderId="32" applyNumberFormat="0" applyFont="0" applyAlignment="0" applyProtection="0"/>
    <xf numFmtId="0" fontId="11" fillId="27" borderId="31" applyNumberFormat="0" applyAlignment="0" applyProtection="0"/>
    <xf numFmtId="0" fontId="11" fillId="27" borderId="31" applyNumberFormat="0" applyAlignment="0" applyProtection="0"/>
    <xf numFmtId="0" fontId="11" fillId="27" borderId="31" applyNumberFormat="0" applyAlignment="0" applyProtection="0"/>
    <xf numFmtId="0" fontId="49" fillId="0" borderId="34">
      <alignment horizontal="left" vertical="center" wrapText="1" indent="2"/>
    </xf>
    <xf numFmtId="0" fontId="14" fillId="14" borderId="31" applyNumberFormat="0" applyAlignment="0" applyProtection="0"/>
    <xf numFmtId="0" fontId="14" fillId="14" borderId="31" applyNumberFormat="0" applyAlignment="0" applyProtection="0"/>
    <xf numFmtId="0" fontId="14" fillId="14" borderId="31" applyNumberFormat="0" applyAlignment="0" applyProtection="0"/>
    <xf numFmtId="0" fontId="14" fillId="14" borderId="31" applyNumberFormat="0" applyAlignment="0" applyProtection="0"/>
    <xf numFmtId="4" fontId="49" fillId="0" borderId="33" applyFill="0" applyBorder="0" applyProtection="0">
      <alignment horizontal="right" vertical="center"/>
    </xf>
    <xf numFmtId="4" fontId="49" fillId="0" borderId="33" applyFill="0" applyBorder="0" applyProtection="0">
      <alignment horizontal="right" vertical="center"/>
    </xf>
    <xf numFmtId="0" fontId="46" fillId="30" borderId="32" applyNumberFormat="0" applyFont="0" applyAlignment="0" applyProtection="0"/>
    <xf numFmtId="0" fontId="46" fillId="30" borderId="32" applyNumberFormat="0" applyFont="0" applyAlignment="0" applyProtection="0"/>
    <xf numFmtId="0" fontId="1" fillId="30" borderId="32" applyNumberFormat="0" applyFont="0" applyAlignment="0" applyProtection="0"/>
    <xf numFmtId="0" fontId="46" fillId="30" borderId="32" applyNumberFormat="0" applyFont="0" applyAlignment="0" applyProtection="0"/>
    <xf numFmtId="0" fontId="1" fillId="30" borderId="32" applyNumberFormat="0" applyFont="0" applyAlignment="0" applyProtection="0"/>
    <xf numFmtId="0" fontId="66" fillId="71" borderId="33" applyNumberFormat="0" applyProtection="0">
      <alignment horizontal="right"/>
    </xf>
    <xf numFmtId="0" fontId="66" fillId="71" borderId="33" applyNumberFormat="0" applyProtection="0">
      <alignment horizontal="left"/>
    </xf>
    <xf numFmtId="49" fontId="1" fillId="0" borderId="33" applyFill="0" applyProtection="0">
      <alignment horizontal="right"/>
    </xf>
    <xf numFmtId="1" fontId="1" fillId="0" borderId="33" applyFill="0" applyProtection="0">
      <alignment horizontal="right" vertical="top" wrapText="1"/>
    </xf>
    <xf numFmtId="2" fontId="1" fillId="0" borderId="33" applyFill="0" applyProtection="0">
      <alignment horizontal="right" vertical="top" wrapText="1"/>
    </xf>
    <xf numFmtId="0" fontId="1" fillId="0" borderId="33" applyFill="0" applyProtection="0">
      <alignment horizontal="right" vertical="top" wrapText="1"/>
    </xf>
    <xf numFmtId="0" fontId="66" fillId="71" borderId="33" applyNumberFormat="0" applyProtection="0">
      <alignment horizontal="right"/>
    </xf>
    <xf numFmtId="0" fontId="66" fillId="71" borderId="33" applyNumberFormat="0" applyProtection="0">
      <alignment horizontal="left"/>
    </xf>
    <xf numFmtId="49" fontId="1" fillId="0" borderId="33" applyFill="0" applyProtection="0">
      <alignment horizontal="right"/>
    </xf>
    <xf numFmtId="1" fontId="1" fillId="0" borderId="33" applyFill="0" applyProtection="0">
      <alignment horizontal="right" vertical="top" wrapText="1"/>
    </xf>
    <xf numFmtId="2" fontId="1" fillId="0" borderId="33" applyFill="0" applyProtection="0">
      <alignment horizontal="right" vertical="top" wrapText="1"/>
    </xf>
    <xf numFmtId="0" fontId="1" fillId="0" borderId="33" applyFill="0" applyProtection="0">
      <alignment horizontal="right" vertical="top" wrapText="1"/>
    </xf>
    <xf numFmtId="0" fontId="66" fillId="71" borderId="33" applyNumberFormat="0" applyProtection="0">
      <alignment horizontal="right"/>
    </xf>
    <xf numFmtId="0" fontId="66" fillId="71" borderId="33" applyNumberFormat="0" applyProtection="0">
      <alignment horizontal="left"/>
    </xf>
    <xf numFmtId="49" fontId="1" fillId="0" borderId="33" applyFill="0" applyProtection="0">
      <alignment horizontal="right"/>
    </xf>
    <xf numFmtId="1" fontId="1" fillId="0" borderId="33" applyFill="0" applyProtection="0">
      <alignment horizontal="right" vertical="top" wrapText="1"/>
    </xf>
    <xf numFmtId="2" fontId="1" fillId="0" borderId="33" applyFill="0" applyProtection="0">
      <alignment horizontal="right" vertical="top" wrapText="1"/>
    </xf>
    <xf numFmtId="0" fontId="1" fillId="0" borderId="33" applyFill="0" applyProtection="0">
      <alignment horizontal="right" vertical="top" wrapText="1"/>
    </xf>
    <xf numFmtId="0" fontId="66" fillId="71" borderId="33" applyNumberFormat="0" applyProtection="0">
      <alignment horizontal="right"/>
    </xf>
    <xf numFmtId="1" fontId="1" fillId="0" borderId="33" applyFill="0" applyProtection="0">
      <alignment horizontal="right" vertical="top" wrapText="1"/>
    </xf>
    <xf numFmtId="2" fontId="1" fillId="0" borderId="33" applyFill="0" applyProtection="0">
      <alignment horizontal="right" vertical="top" wrapText="1"/>
    </xf>
    <xf numFmtId="0" fontId="1" fillId="0" borderId="33" applyFill="0" applyProtection="0">
      <alignment horizontal="right" vertical="top" wrapText="1"/>
    </xf>
    <xf numFmtId="0" fontId="66" fillId="71" borderId="33" applyNumberFormat="0" applyProtection="0">
      <alignment horizontal="right"/>
    </xf>
    <xf numFmtId="0" fontId="66" fillId="71" borderId="33" applyNumberFormat="0" applyProtection="0">
      <alignment horizontal="left"/>
    </xf>
    <xf numFmtId="49" fontId="1" fillId="0" borderId="33" applyFill="0" applyProtection="0">
      <alignment horizontal="right"/>
    </xf>
    <xf numFmtId="1" fontId="1" fillId="0" borderId="33" applyFill="0" applyProtection="0">
      <alignment horizontal="right" vertical="top" wrapText="1"/>
    </xf>
    <xf numFmtId="2" fontId="1" fillId="0" borderId="33" applyFill="0" applyProtection="0">
      <alignment horizontal="right" vertical="top" wrapText="1"/>
    </xf>
    <xf numFmtId="0" fontId="1" fillId="0" borderId="33" applyFill="0" applyProtection="0">
      <alignment horizontal="right" vertical="top" wrapText="1"/>
    </xf>
    <xf numFmtId="0" fontId="66" fillId="71" borderId="33" applyNumberFormat="0" applyProtection="0">
      <alignment horizontal="right"/>
    </xf>
    <xf numFmtId="0" fontId="66" fillId="71" borderId="33" applyNumberFormat="0" applyProtection="0">
      <alignment horizontal="left"/>
    </xf>
    <xf numFmtId="49" fontId="1" fillId="0" borderId="33" applyFill="0" applyProtection="0">
      <alignment horizontal="right"/>
    </xf>
    <xf numFmtId="1" fontId="1" fillId="0" borderId="33" applyFill="0" applyProtection="0">
      <alignment horizontal="right" vertical="top" wrapText="1"/>
    </xf>
    <xf numFmtId="2" fontId="1" fillId="0" borderId="33" applyFill="0" applyProtection="0">
      <alignment horizontal="right" vertical="top" wrapText="1"/>
    </xf>
    <xf numFmtId="0" fontId="1" fillId="0" borderId="33" applyFill="0" applyProtection="0">
      <alignment horizontal="right" vertical="top" wrapText="1"/>
    </xf>
    <xf numFmtId="0" fontId="66" fillId="71" borderId="33" applyNumberFormat="0" applyProtection="0">
      <alignment horizontal="right"/>
    </xf>
    <xf numFmtId="0" fontId="66" fillId="71" borderId="33" applyNumberFormat="0" applyProtection="0">
      <alignment horizontal="left"/>
    </xf>
    <xf numFmtId="49" fontId="1" fillId="0" borderId="33" applyFill="0" applyProtection="0">
      <alignment horizontal="right"/>
    </xf>
    <xf numFmtId="1" fontId="1" fillId="0" borderId="33" applyFill="0" applyProtection="0">
      <alignment horizontal="right" vertical="top" wrapText="1"/>
    </xf>
    <xf numFmtId="2" fontId="1" fillId="0" borderId="33" applyFill="0" applyProtection="0">
      <alignment horizontal="right" vertical="top" wrapText="1"/>
    </xf>
    <xf numFmtId="0" fontId="1" fillId="0" borderId="33" applyFill="0" applyProtection="0">
      <alignment horizontal="right" vertical="top" wrapText="1"/>
    </xf>
    <xf numFmtId="0" fontId="11" fillId="27" borderId="35" applyNumberFormat="0" applyAlignment="0" applyProtection="0"/>
    <xf numFmtId="0" fontId="14" fillId="14" borderId="35" applyNumberFormat="0" applyAlignment="0" applyProtection="0"/>
    <xf numFmtId="0" fontId="1" fillId="30" borderId="36" applyNumberFormat="0" applyFont="0" applyAlignment="0" applyProtection="0"/>
    <xf numFmtId="0" fontId="1" fillId="30" borderId="36" applyNumberFormat="0" applyFont="0" applyAlignment="0" applyProtection="0"/>
    <xf numFmtId="0" fontId="49" fillId="0" borderId="38">
      <alignment horizontal="left" vertical="center" wrapText="1" indent="2"/>
    </xf>
    <xf numFmtId="4" fontId="49" fillId="0" borderId="37" applyFill="0" applyBorder="0" applyProtection="0">
      <alignment horizontal="right" vertical="center"/>
    </xf>
    <xf numFmtId="0" fontId="1" fillId="30" borderId="36" applyNumberFormat="0" applyFont="0" applyAlignment="0" applyProtection="0"/>
    <xf numFmtId="0" fontId="46" fillId="30" borderId="36" applyNumberFormat="0" applyFont="0" applyAlignment="0" applyProtection="0"/>
    <xf numFmtId="0" fontId="1" fillId="30" borderId="36" applyNumberFormat="0" applyFont="0" applyAlignment="0" applyProtection="0"/>
    <xf numFmtId="0" fontId="1" fillId="30" borderId="36" applyNumberFormat="0" applyFont="0" applyAlignment="0" applyProtection="0"/>
    <xf numFmtId="0" fontId="1" fillId="30" borderId="36" applyNumberFormat="0" applyFont="0" applyAlignment="0" applyProtection="0"/>
    <xf numFmtId="0" fontId="46" fillId="30" borderId="36" applyNumberFormat="0" applyFont="0" applyAlignment="0" applyProtection="0"/>
    <xf numFmtId="0" fontId="1" fillId="30" borderId="36" applyNumberFormat="0" applyFont="0" applyAlignment="0" applyProtection="0"/>
    <xf numFmtId="0" fontId="1" fillId="30" borderId="36" applyNumberFormat="0" applyFont="0" applyAlignment="0" applyProtection="0"/>
    <xf numFmtId="0" fontId="1" fillId="30" borderId="36" applyNumberFormat="0" applyFont="0" applyAlignment="0" applyProtection="0"/>
    <xf numFmtId="0" fontId="1" fillId="30" borderId="36" applyNumberFormat="0" applyFont="0" applyAlignment="0" applyProtection="0"/>
    <xf numFmtId="0" fontId="1" fillId="30" borderId="36" applyNumberFormat="0" applyFont="0" applyAlignment="0" applyProtection="0"/>
    <xf numFmtId="0" fontId="11" fillId="27" borderId="35" applyNumberFormat="0" applyAlignment="0" applyProtection="0"/>
    <xf numFmtId="0" fontId="11" fillId="27" borderId="35" applyNumberFormat="0" applyAlignment="0" applyProtection="0"/>
    <xf numFmtId="0" fontId="11" fillId="27" borderId="35" applyNumberFormat="0" applyAlignment="0" applyProtection="0"/>
    <xf numFmtId="0" fontId="49" fillId="0" borderId="38">
      <alignment horizontal="left" vertical="center" wrapText="1" indent="2"/>
    </xf>
    <xf numFmtId="0" fontId="14" fillId="14" borderId="35" applyNumberFormat="0" applyAlignment="0" applyProtection="0"/>
    <xf numFmtId="0" fontId="14" fillId="14" borderId="35" applyNumberFormat="0" applyAlignment="0" applyProtection="0"/>
    <xf numFmtId="0" fontId="14" fillId="14" borderId="35" applyNumberFormat="0" applyAlignment="0" applyProtection="0"/>
    <xf numFmtId="0" fontId="14" fillId="14" borderId="35" applyNumberFormat="0" applyAlignment="0" applyProtection="0"/>
    <xf numFmtId="4" fontId="49" fillId="0" borderId="37" applyFill="0" applyBorder="0" applyProtection="0">
      <alignment horizontal="right" vertical="center"/>
    </xf>
    <xf numFmtId="4" fontId="49" fillId="0" borderId="37" applyFill="0" applyBorder="0" applyProtection="0">
      <alignment horizontal="right" vertical="center"/>
    </xf>
    <xf numFmtId="0" fontId="46" fillId="30" borderId="36" applyNumberFormat="0" applyFont="0" applyAlignment="0" applyProtection="0"/>
    <xf numFmtId="0" fontId="46" fillId="30" borderId="36" applyNumberFormat="0" applyFont="0" applyAlignment="0" applyProtection="0"/>
    <xf numFmtId="0" fontId="1" fillId="30" borderId="36" applyNumberFormat="0" applyFont="0" applyAlignment="0" applyProtection="0"/>
    <xf numFmtId="0" fontId="46" fillId="30" borderId="36" applyNumberFormat="0" applyFont="0" applyAlignment="0" applyProtection="0"/>
    <xf numFmtId="0" fontId="1" fillId="30" borderId="36" applyNumberFormat="0" applyFont="0" applyAlignment="0" applyProtection="0"/>
    <xf numFmtId="0" fontId="66" fillId="71" borderId="37" applyNumberFormat="0" applyProtection="0">
      <alignment horizontal="right"/>
    </xf>
    <xf numFmtId="0" fontId="66" fillId="71" borderId="37" applyNumberFormat="0" applyProtection="0">
      <alignment horizontal="left"/>
    </xf>
    <xf numFmtId="49" fontId="1" fillId="0" borderId="37" applyFill="0" applyProtection="0">
      <alignment horizontal="right"/>
    </xf>
    <xf numFmtId="1" fontId="1" fillId="0" borderId="37" applyFill="0" applyProtection="0">
      <alignment horizontal="right" vertical="top" wrapText="1"/>
    </xf>
    <xf numFmtId="2" fontId="1" fillId="0" borderId="37" applyFill="0" applyProtection="0">
      <alignment horizontal="right" vertical="top" wrapText="1"/>
    </xf>
    <xf numFmtId="0" fontId="1" fillId="0" borderId="37" applyFill="0" applyProtection="0">
      <alignment horizontal="right" vertical="top" wrapText="1"/>
    </xf>
    <xf numFmtId="0" fontId="66" fillId="71" borderId="37" applyNumberFormat="0" applyProtection="0">
      <alignment horizontal="right"/>
    </xf>
    <xf numFmtId="0" fontId="66" fillId="71" borderId="37" applyNumberFormat="0" applyProtection="0">
      <alignment horizontal="left"/>
    </xf>
    <xf numFmtId="49" fontId="1" fillId="0" borderId="37" applyFill="0" applyProtection="0">
      <alignment horizontal="right"/>
    </xf>
    <xf numFmtId="1" fontId="1" fillId="0" borderId="37" applyFill="0" applyProtection="0">
      <alignment horizontal="right" vertical="top" wrapText="1"/>
    </xf>
    <xf numFmtId="2" fontId="1" fillId="0" borderId="37" applyFill="0" applyProtection="0">
      <alignment horizontal="right" vertical="top" wrapText="1"/>
    </xf>
    <xf numFmtId="0" fontId="1" fillId="0" borderId="37" applyFill="0" applyProtection="0">
      <alignment horizontal="right" vertical="top" wrapText="1"/>
    </xf>
    <xf numFmtId="0" fontId="66" fillId="71" borderId="37" applyNumberFormat="0" applyProtection="0">
      <alignment horizontal="right"/>
    </xf>
    <xf numFmtId="0" fontId="66" fillId="71" borderId="37" applyNumberFormat="0" applyProtection="0">
      <alignment horizontal="left"/>
    </xf>
    <xf numFmtId="49" fontId="1" fillId="0" borderId="37" applyFill="0" applyProtection="0">
      <alignment horizontal="right"/>
    </xf>
    <xf numFmtId="1" fontId="1" fillId="0" borderId="37" applyFill="0" applyProtection="0">
      <alignment horizontal="right" vertical="top" wrapText="1"/>
    </xf>
    <xf numFmtId="2" fontId="1" fillId="0" borderId="37" applyFill="0" applyProtection="0">
      <alignment horizontal="right" vertical="top" wrapText="1"/>
    </xf>
    <xf numFmtId="0" fontId="1" fillId="0" borderId="37" applyFill="0" applyProtection="0">
      <alignment horizontal="right" vertical="top" wrapText="1"/>
    </xf>
    <xf numFmtId="0" fontId="66" fillId="71" borderId="37" applyNumberFormat="0" applyProtection="0">
      <alignment horizontal="right"/>
    </xf>
    <xf numFmtId="1" fontId="1" fillId="0" borderId="37" applyFill="0" applyProtection="0">
      <alignment horizontal="right" vertical="top" wrapText="1"/>
    </xf>
    <xf numFmtId="2" fontId="1" fillId="0" borderId="37" applyFill="0" applyProtection="0">
      <alignment horizontal="right" vertical="top" wrapText="1"/>
    </xf>
    <xf numFmtId="0" fontId="1" fillId="0" borderId="37" applyFill="0" applyProtection="0">
      <alignment horizontal="right" vertical="top" wrapText="1"/>
    </xf>
    <xf numFmtId="0" fontId="66" fillId="71" borderId="37" applyNumberFormat="0" applyProtection="0">
      <alignment horizontal="right"/>
    </xf>
    <xf numFmtId="0" fontId="66" fillId="71" borderId="37" applyNumberFormat="0" applyProtection="0">
      <alignment horizontal="left"/>
    </xf>
    <xf numFmtId="49" fontId="1" fillId="0" borderId="37" applyFill="0" applyProtection="0">
      <alignment horizontal="right"/>
    </xf>
    <xf numFmtId="1" fontId="1" fillId="0" borderId="37" applyFill="0" applyProtection="0">
      <alignment horizontal="right" vertical="top" wrapText="1"/>
    </xf>
    <xf numFmtId="2" fontId="1" fillId="0" borderId="37" applyFill="0" applyProtection="0">
      <alignment horizontal="right" vertical="top" wrapText="1"/>
    </xf>
    <xf numFmtId="0" fontId="1" fillId="0" borderId="37" applyFill="0" applyProtection="0">
      <alignment horizontal="right" vertical="top" wrapText="1"/>
    </xf>
    <xf numFmtId="0" fontId="66" fillId="71" borderId="37" applyNumberFormat="0" applyProtection="0">
      <alignment horizontal="right"/>
    </xf>
    <xf numFmtId="0" fontId="66" fillId="71" borderId="37" applyNumberFormat="0" applyProtection="0">
      <alignment horizontal="left"/>
    </xf>
    <xf numFmtId="49" fontId="1" fillId="0" borderId="37" applyFill="0" applyProtection="0">
      <alignment horizontal="right"/>
    </xf>
    <xf numFmtId="1" fontId="1" fillId="0" borderId="37" applyFill="0" applyProtection="0">
      <alignment horizontal="right" vertical="top" wrapText="1"/>
    </xf>
    <xf numFmtId="2" fontId="1" fillId="0" borderId="37" applyFill="0" applyProtection="0">
      <alignment horizontal="right" vertical="top" wrapText="1"/>
    </xf>
    <xf numFmtId="0" fontId="1" fillId="0" borderId="37" applyFill="0" applyProtection="0">
      <alignment horizontal="right" vertical="top" wrapText="1"/>
    </xf>
    <xf numFmtId="0" fontId="66" fillId="71" borderId="37" applyNumberFormat="0" applyProtection="0">
      <alignment horizontal="right"/>
    </xf>
    <xf numFmtId="0" fontId="66" fillId="71" borderId="37" applyNumberFormat="0" applyProtection="0">
      <alignment horizontal="left"/>
    </xf>
    <xf numFmtId="49" fontId="1" fillId="0" borderId="37" applyFill="0" applyProtection="0">
      <alignment horizontal="right"/>
    </xf>
    <xf numFmtId="1" fontId="1" fillId="0" borderId="37" applyFill="0" applyProtection="0">
      <alignment horizontal="right" vertical="top" wrapText="1"/>
    </xf>
    <xf numFmtId="2" fontId="1" fillId="0" borderId="37" applyFill="0" applyProtection="0">
      <alignment horizontal="right" vertical="top" wrapText="1"/>
    </xf>
    <xf numFmtId="0" fontId="1" fillId="0" borderId="37" applyFill="0" applyProtection="0">
      <alignment horizontal="right" vertical="top" wrapText="1"/>
    </xf>
    <xf numFmtId="0" fontId="11" fillId="27" borderId="40" applyNumberFormat="0" applyAlignment="0" applyProtection="0"/>
    <xf numFmtId="0" fontId="11" fillId="27" borderId="40" applyNumberFormat="0" applyAlignment="0" applyProtection="0"/>
    <xf numFmtId="0" fontId="11" fillId="27" borderId="40" applyNumberFormat="0" applyAlignment="0" applyProtection="0"/>
    <xf numFmtId="0" fontId="11" fillId="27" borderId="40" applyNumberFormat="0" applyAlignment="0" applyProtection="0"/>
    <xf numFmtId="0" fontId="49" fillId="0" borderId="41">
      <alignment horizontal="left" vertical="center" wrapText="1" indent="2"/>
    </xf>
    <xf numFmtId="0" fontId="49" fillId="0" borderId="41">
      <alignment horizontal="left" vertical="center" wrapText="1" indent="2"/>
    </xf>
    <xf numFmtId="0" fontId="14" fillId="14" borderId="40" applyNumberFormat="0" applyAlignment="0" applyProtection="0"/>
    <xf numFmtId="0" fontId="14" fillId="14" borderId="40" applyNumberFormat="0" applyAlignment="0" applyProtection="0"/>
    <xf numFmtId="0" fontId="14" fillId="14" borderId="40" applyNumberFormat="0" applyAlignment="0" applyProtection="0"/>
    <xf numFmtId="0" fontId="14" fillId="14" borderId="40" applyNumberFormat="0" applyAlignment="0" applyProtection="0"/>
    <xf numFmtId="0" fontId="14" fillId="14" borderId="40" applyNumberFormat="0" applyAlignment="0" applyProtection="0"/>
    <xf numFmtId="0" fontId="14" fillId="14" borderId="40" applyNumberFormat="0" applyAlignment="0" applyProtection="0"/>
    <xf numFmtId="0" fontId="17" fillId="27" borderId="44" applyNumberFormat="0" applyAlignment="0" applyProtection="0"/>
    <xf numFmtId="0" fontId="17" fillId="27" borderId="44" applyNumberFormat="0" applyAlignment="0" applyProtection="0"/>
    <xf numFmtId="0" fontId="17" fillId="27" borderId="44" applyNumberFormat="0" applyAlignment="0" applyProtection="0"/>
    <xf numFmtId="0" fontId="17" fillId="27" borderId="44" applyNumberFormat="0" applyAlignment="0" applyProtection="0"/>
    <xf numFmtId="0" fontId="17" fillId="27" borderId="44" applyNumberFormat="0" applyAlignment="0" applyProtection="0"/>
    <xf numFmtId="0" fontId="17" fillId="27" borderId="44" applyNumberFormat="0" applyAlignment="0" applyProtection="0"/>
    <xf numFmtId="4" fontId="49" fillId="0" borderId="39" applyFill="0" applyBorder="0" applyProtection="0">
      <alignment horizontal="right" vertical="center"/>
    </xf>
    <xf numFmtId="4" fontId="49" fillId="0" borderId="39" applyFill="0" applyBorder="0" applyProtection="0">
      <alignment horizontal="right" vertical="center"/>
    </xf>
    <xf numFmtId="4" fontId="49" fillId="0" borderId="39" applyFill="0" applyBorder="0" applyProtection="0">
      <alignment horizontal="right" vertical="center"/>
    </xf>
    <xf numFmtId="0" fontId="1" fillId="30" borderId="42" applyNumberFormat="0" applyFont="0" applyAlignment="0" applyProtection="0"/>
    <xf numFmtId="0" fontId="1" fillId="30" borderId="42" applyNumberFormat="0" applyFont="0" applyAlignment="0" applyProtection="0"/>
    <xf numFmtId="0" fontId="1" fillId="30" borderId="42" applyNumberFormat="0" applyFont="0" applyAlignment="0" applyProtection="0"/>
    <xf numFmtId="0" fontId="1" fillId="30" borderId="42" applyNumberFormat="0" applyFont="0" applyAlignment="0" applyProtection="0"/>
    <xf numFmtId="0" fontId="1" fillId="30" borderId="42" applyNumberFormat="0" applyFont="0" applyAlignment="0" applyProtection="0"/>
    <xf numFmtId="0" fontId="46" fillId="30" borderId="42" applyNumberFormat="0" applyFont="0" applyAlignment="0" applyProtection="0"/>
    <xf numFmtId="0" fontId="46" fillId="30" borderId="42" applyNumberFormat="0" applyFont="0" applyAlignment="0" applyProtection="0"/>
    <xf numFmtId="0" fontId="1" fillId="30" borderId="42" applyNumberFormat="0" applyFont="0" applyAlignment="0" applyProtection="0"/>
    <xf numFmtId="0" fontId="1" fillId="30" borderId="42" applyNumberFormat="0" applyFont="0" applyAlignment="0" applyProtection="0"/>
    <xf numFmtId="0" fontId="1" fillId="30" borderId="42" applyNumberFormat="0" applyFont="0" applyAlignment="0" applyProtection="0"/>
    <xf numFmtId="0" fontId="1" fillId="30" borderId="42" applyNumberFormat="0" applyFont="0" applyAlignment="0" applyProtection="0"/>
    <xf numFmtId="0" fontId="1" fillId="30" borderId="42" applyNumberFormat="0" applyFont="0" applyAlignment="0" applyProtection="0"/>
    <xf numFmtId="0" fontId="1" fillId="30" borderId="42" applyNumberFormat="0" applyFont="0" applyAlignment="0" applyProtection="0"/>
    <xf numFmtId="0" fontId="46" fillId="30" borderId="42" applyNumberFormat="0" applyFont="0" applyAlignment="0" applyProtection="0"/>
    <xf numFmtId="0" fontId="46" fillId="30" borderId="42" applyNumberFormat="0" applyFont="0" applyAlignment="0" applyProtection="0"/>
    <xf numFmtId="0" fontId="1" fillId="30" borderId="42" applyNumberFormat="0" applyFont="0" applyAlignment="0" applyProtection="0"/>
    <xf numFmtId="0" fontId="66" fillId="71" borderId="39" applyNumberFormat="0" applyProtection="0">
      <alignment horizontal="right"/>
    </xf>
    <xf numFmtId="0" fontId="66" fillId="71" borderId="39" applyNumberFormat="0" applyProtection="0">
      <alignment horizontal="left"/>
    </xf>
    <xf numFmtId="49" fontId="1" fillId="0" borderId="39" applyFill="0" applyProtection="0">
      <alignment horizontal="right"/>
    </xf>
    <xf numFmtId="1" fontId="1" fillId="0" borderId="39" applyFill="0" applyProtection="0">
      <alignment horizontal="right" vertical="top" wrapText="1"/>
    </xf>
    <xf numFmtId="2" fontId="1" fillId="0" borderId="39" applyFill="0" applyProtection="0">
      <alignment horizontal="right" vertical="top" wrapText="1"/>
    </xf>
    <xf numFmtId="0" fontId="1" fillId="0" borderId="39" applyFill="0" applyProtection="0">
      <alignment horizontal="right" vertical="top" wrapText="1"/>
    </xf>
    <xf numFmtId="0" fontId="66" fillId="71" borderId="39" applyNumberFormat="0" applyProtection="0">
      <alignment horizontal="right"/>
    </xf>
    <xf numFmtId="0" fontId="66" fillId="71" borderId="39" applyNumberFormat="0" applyProtection="0">
      <alignment horizontal="left"/>
    </xf>
    <xf numFmtId="49" fontId="1" fillId="0" borderId="39" applyFill="0" applyProtection="0">
      <alignment horizontal="right"/>
    </xf>
    <xf numFmtId="1" fontId="1" fillId="0" borderId="39" applyFill="0" applyProtection="0">
      <alignment horizontal="right" vertical="top" wrapText="1"/>
    </xf>
    <xf numFmtId="2" fontId="1" fillId="0" borderId="39" applyFill="0" applyProtection="0">
      <alignment horizontal="right" vertical="top" wrapText="1"/>
    </xf>
    <xf numFmtId="0" fontId="1" fillId="0" borderId="39" applyFill="0" applyProtection="0">
      <alignment horizontal="right" vertical="top" wrapText="1"/>
    </xf>
    <xf numFmtId="0" fontId="66" fillId="71" borderId="39" applyNumberFormat="0" applyProtection="0">
      <alignment horizontal="right"/>
    </xf>
    <xf numFmtId="0" fontId="66" fillId="71" borderId="39" applyNumberFormat="0" applyProtection="0">
      <alignment horizontal="left"/>
    </xf>
    <xf numFmtId="49" fontId="1" fillId="0" borderId="39" applyFill="0" applyProtection="0">
      <alignment horizontal="right"/>
    </xf>
    <xf numFmtId="1" fontId="1" fillId="0" borderId="39" applyFill="0" applyProtection="0">
      <alignment horizontal="right" vertical="top" wrapText="1"/>
    </xf>
    <xf numFmtId="2" fontId="1" fillId="0" borderId="39" applyFill="0" applyProtection="0">
      <alignment horizontal="right" vertical="top" wrapText="1"/>
    </xf>
    <xf numFmtId="0" fontId="1" fillId="0" borderId="39" applyFill="0" applyProtection="0">
      <alignment horizontal="right" vertical="top" wrapText="1"/>
    </xf>
    <xf numFmtId="0" fontId="66" fillId="71" borderId="39" applyNumberFormat="0" applyProtection="0">
      <alignment horizontal="right"/>
    </xf>
    <xf numFmtId="1" fontId="1" fillId="0" borderId="39" applyFill="0" applyProtection="0">
      <alignment horizontal="right" vertical="top" wrapText="1"/>
    </xf>
    <xf numFmtId="2" fontId="1" fillId="0" borderId="39" applyFill="0" applyProtection="0">
      <alignment horizontal="right" vertical="top" wrapText="1"/>
    </xf>
    <xf numFmtId="0" fontId="1" fillId="0" borderId="39" applyFill="0" applyProtection="0">
      <alignment horizontal="right" vertical="top" wrapText="1"/>
    </xf>
    <xf numFmtId="0" fontId="66" fillId="71" borderId="39" applyNumberFormat="0" applyProtection="0">
      <alignment horizontal="right"/>
    </xf>
    <xf numFmtId="0" fontId="66" fillId="71" borderId="39" applyNumberFormat="0" applyProtection="0">
      <alignment horizontal="left"/>
    </xf>
    <xf numFmtId="49" fontId="1" fillId="0" borderId="39" applyFill="0" applyProtection="0">
      <alignment horizontal="right"/>
    </xf>
    <xf numFmtId="1" fontId="1" fillId="0" borderId="39" applyFill="0" applyProtection="0">
      <alignment horizontal="right" vertical="top" wrapText="1"/>
    </xf>
    <xf numFmtId="2" fontId="1" fillId="0" borderId="39" applyFill="0" applyProtection="0">
      <alignment horizontal="right" vertical="top" wrapText="1"/>
    </xf>
    <xf numFmtId="0" fontId="1" fillId="0" borderId="39" applyFill="0" applyProtection="0">
      <alignment horizontal="right" vertical="top" wrapText="1"/>
    </xf>
    <xf numFmtId="0" fontId="66" fillId="71" borderId="39" applyNumberFormat="0" applyProtection="0">
      <alignment horizontal="right"/>
    </xf>
    <xf numFmtId="0" fontId="66" fillId="71" borderId="39" applyNumberFormat="0" applyProtection="0">
      <alignment horizontal="left"/>
    </xf>
    <xf numFmtId="49" fontId="1" fillId="0" borderId="39" applyFill="0" applyProtection="0">
      <alignment horizontal="right"/>
    </xf>
    <xf numFmtId="1" fontId="1" fillId="0" borderId="39" applyFill="0" applyProtection="0">
      <alignment horizontal="right" vertical="top" wrapText="1"/>
    </xf>
    <xf numFmtId="2" fontId="1" fillId="0" borderId="39" applyFill="0" applyProtection="0">
      <alignment horizontal="right" vertical="top" wrapText="1"/>
    </xf>
    <xf numFmtId="0" fontId="1" fillId="0" borderId="39" applyFill="0" applyProtection="0">
      <alignment horizontal="right" vertical="top" wrapText="1"/>
    </xf>
    <xf numFmtId="0" fontId="66" fillId="71" borderId="39" applyNumberFormat="0" applyProtection="0">
      <alignment horizontal="right"/>
    </xf>
    <xf numFmtId="0" fontId="66" fillId="71" borderId="39" applyNumberFormat="0" applyProtection="0">
      <alignment horizontal="left"/>
    </xf>
    <xf numFmtId="49" fontId="1" fillId="0" borderId="39" applyFill="0" applyProtection="0">
      <alignment horizontal="right"/>
    </xf>
    <xf numFmtId="1" fontId="1" fillId="0" borderId="39" applyFill="0" applyProtection="0">
      <alignment horizontal="right" vertical="top" wrapText="1"/>
    </xf>
    <xf numFmtId="2" fontId="1" fillId="0" borderId="39" applyFill="0" applyProtection="0">
      <alignment horizontal="right" vertical="top" wrapText="1"/>
    </xf>
    <xf numFmtId="0" fontId="1" fillId="0" borderId="39" applyFill="0" applyProtection="0">
      <alignment horizontal="right" vertical="top" wrapText="1"/>
    </xf>
    <xf numFmtId="0" fontId="24" fillId="0" borderId="43" applyNumberFormat="0" applyFill="0" applyAlignment="0" applyProtection="0"/>
    <xf numFmtId="0" fontId="24" fillId="0" borderId="43" applyNumberFormat="0" applyFill="0" applyAlignment="0" applyProtection="0"/>
    <xf numFmtId="0" fontId="24" fillId="0" borderId="43" applyNumberFormat="0" applyFill="0" applyAlignment="0" applyProtection="0"/>
    <xf numFmtId="0" fontId="24" fillId="0" borderId="43" applyNumberFormat="0" applyFill="0" applyAlignment="0" applyProtection="0"/>
    <xf numFmtId="0" fontId="24" fillId="0" borderId="43" applyNumberFormat="0" applyFill="0" applyAlignment="0" applyProtection="0"/>
    <xf numFmtId="0" fontId="24" fillId="0" borderId="43" applyNumberFormat="0" applyFill="0" applyAlignment="0" applyProtection="0"/>
    <xf numFmtId="0" fontId="24" fillId="0" borderId="43" applyNumberFormat="0" applyFill="0" applyAlignment="0" applyProtection="0"/>
    <xf numFmtId="0" fontId="24" fillId="0" borderId="43" applyNumberFormat="0" applyFill="0" applyAlignment="0" applyProtection="0"/>
    <xf numFmtId="0" fontId="1" fillId="30" borderId="42" applyNumberFormat="0" applyFont="0" applyAlignment="0" applyProtection="0"/>
    <xf numFmtId="0" fontId="1" fillId="30" borderId="42" applyNumberFormat="0" applyFont="0" applyAlignment="0" applyProtection="0"/>
    <xf numFmtId="0" fontId="4" fillId="0" borderId="0"/>
    <xf numFmtId="0" fontId="38" fillId="0" borderId="0"/>
    <xf numFmtId="0" fontId="55" fillId="0" borderId="0" applyNumberFormat="0" applyFill="0" applyBorder="0" applyAlignment="0" applyProtection="0"/>
  </cellStyleXfs>
  <cellXfs count="395">
    <xf numFmtId="0" fontId="0" fillId="0" borderId="0" xfId="0"/>
    <xf numFmtId="0" fontId="0" fillId="0" borderId="0" xfId="0" applyFont="1"/>
    <xf numFmtId="0" fontId="0" fillId="0" borderId="0" xfId="0" applyFont="1" applyFill="1"/>
    <xf numFmtId="0" fontId="0" fillId="0" borderId="0" xfId="0" applyFont="1" applyFill="1" applyAlignment="1">
      <alignment vertical="top"/>
    </xf>
    <xf numFmtId="0" fontId="29" fillId="2" borderId="0" xfId="1" applyFont="1" applyFill="1"/>
    <xf numFmtId="0" fontId="29" fillId="3" borderId="1" xfId="0" applyFont="1" applyFill="1" applyBorder="1" applyAlignment="1">
      <alignment horizontal="left" vertical="center" wrapText="1"/>
    </xf>
    <xf numFmtId="0" fontId="29" fillId="3" borderId="2" xfId="0" applyFont="1" applyFill="1" applyBorder="1" applyAlignment="1">
      <alignment horizontal="left" vertical="center" wrapText="1"/>
    </xf>
    <xf numFmtId="0" fontId="29" fillId="4" borderId="1" xfId="0" applyFont="1" applyFill="1" applyBorder="1" applyAlignment="1">
      <alignment vertical="top" wrapText="1"/>
    </xf>
    <xf numFmtId="0" fontId="29" fillId="4" borderId="2" xfId="0" applyFont="1" applyFill="1" applyBorder="1" applyAlignment="1">
      <alignment vertical="top" wrapText="1"/>
    </xf>
    <xf numFmtId="0" fontId="29" fillId="5" borderId="3" xfId="0" applyFont="1" applyFill="1" applyBorder="1" applyAlignment="1">
      <alignment horizontal="left"/>
    </xf>
    <xf numFmtId="0" fontId="29" fillId="5" borderId="3" xfId="0" applyFont="1" applyFill="1" applyBorder="1" applyAlignment="1">
      <alignment horizontal="right"/>
    </xf>
    <xf numFmtId="0" fontId="29" fillId="5" borderId="4" xfId="0" applyFont="1" applyFill="1" applyBorder="1" applyAlignment="1">
      <alignment horizontal="right"/>
    </xf>
    <xf numFmtId="0" fontId="26" fillId="0" borderId="0" xfId="0" applyFont="1"/>
    <xf numFmtId="0" fontId="26" fillId="0" borderId="0" xfId="0" applyFont="1" applyAlignment="1">
      <alignment horizontal="left" vertical="center" indent="5"/>
    </xf>
    <xf numFmtId="0" fontId="0" fillId="0" borderId="0" xfId="0" applyAlignment="1">
      <alignment horizontal="left" vertical="center" indent="5"/>
    </xf>
    <xf numFmtId="0" fontId="33" fillId="0" borderId="0" xfId="0" applyFont="1" applyAlignment="1">
      <alignment vertical="center"/>
    </xf>
    <xf numFmtId="0" fontId="0" fillId="0" borderId="0" xfId="0" applyAlignment="1">
      <alignment horizontal="left" vertical="center" indent="2"/>
    </xf>
    <xf numFmtId="0" fontId="36" fillId="0" borderId="16" xfId="0" applyFont="1" applyBorder="1" applyAlignment="1">
      <alignment vertical="center" wrapText="1"/>
    </xf>
    <xf numFmtId="0" fontId="36" fillId="0" borderId="17" xfId="0" applyFont="1" applyBorder="1" applyAlignment="1">
      <alignment vertical="center" wrapText="1"/>
    </xf>
    <xf numFmtId="0" fontId="33" fillId="0" borderId="18" xfId="0" applyFont="1" applyBorder="1" applyAlignment="1">
      <alignment vertical="center" wrapText="1"/>
    </xf>
    <xf numFmtId="0" fontId="33" fillId="0" borderId="19" xfId="0" applyFont="1" applyBorder="1" applyAlignment="1">
      <alignment vertical="center" wrapText="1"/>
    </xf>
    <xf numFmtId="0" fontId="34" fillId="0" borderId="0" xfId="0" applyFont="1"/>
    <xf numFmtId="0" fontId="0" fillId="0" borderId="0" xfId="0" quotePrefix="1"/>
    <xf numFmtId="0" fontId="33" fillId="0" borderId="21" xfId="0" applyFont="1" applyBorder="1" applyAlignment="1">
      <alignment vertical="center" wrapText="1"/>
    </xf>
    <xf numFmtId="0" fontId="37" fillId="0" borderId="19" xfId="0" applyFont="1" applyBorder="1" applyAlignment="1">
      <alignment vertical="center" wrapText="1"/>
    </xf>
    <xf numFmtId="0" fontId="26" fillId="0" borderId="0" xfId="0" applyFont="1" applyAlignment="1">
      <alignment vertical="center"/>
    </xf>
    <xf numFmtId="0" fontId="37" fillId="6" borderId="19" xfId="0" applyFont="1" applyFill="1" applyBorder="1" applyAlignment="1">
      <alignment vertical="center" wrapText="1"/>
    </xf>
    <xf numFmtId="0" fontId="33" fillId="6" borderId="19" xfId="0" applyFont="1" applyFill="1" applyBorder="1" applyAlignment="1">
      <alignment vertical="center" wrapText="1"/>
    </xf>
    <xf numFmtId="0" fontId="0" fillId="0" borderId="0" xfId="0" applyFont="1" applyFill="1" applyBorder="1"/>
    <xf numFmtId="0" fontId="40" fillId="0" borderId="0" xfId="0" applyFont="1" applyAlignment="1">
      <alignment vertical="center" wrapText="1"/>
    </xf>
    <xf numFmtId="174" fontId="0" fillId="2" borderId="0" xfId="4" applyNumberFormat="1" applyFont="1" applyFill="1"/>
    <xf numFmtId="174" fontId="0" fillId="0" borderId="0" xfId="4" applyNumberFormat="1" applyFont="1"/>
    <xf numFmtId="174" fontId="30" fillId="3" borderId="5" xfId="4" applyNumberFormat="1" applyFont="1" applyFill="1" applyBorder="1"/>
    <xf numFmtId="174" fontId="29" fillId="9" borderId="0" xfId="4" quotePrefix="1" applyNumberFormat="1" applyFont="1" applyFill="1" applyBorder="1" applyAlignment="1">
      <alignment horizontal="left" vertical="top" wrapText="1"/>
    </xf>
    <xf numFmtId="174" fontId="0" fillId="0" borderId="0" xfId="0" applyNumberFormat="1" applyFont="1"/>
    <xf numFmtId="174" fontId="0" fillId="0" borderId="0" xfId="4" applyNumberFormat="1" applyFont="1" applyFill="1"/>
    <xf numFmtId="174" fontId="0" fillId="0" borderId="0" xfId="0" applyNumberFormat="1" applyFont="1" applyFill="1"/>
    <xf numFmtId="174" fontId="29" fillId="0" borderId="0" xfId="4" applyNumberFormat="1" applyFont="1"/>
    <xf numFmtId="174" fontId="30" fillId="3" borderId="1" xfId="4" applyNumberFormat="1" applyFont="1" applyFill="1" applyBorder="1"/>
    <xf numFmtId="174" fontId="30" fillId="3" borderId="1" xfId="4" applyNumberFormat="1" applyFont="1" applyFill="1" applyBorder="1" applyAlignment="1">
      <alignment horizontal="left"/>
    </xf>
    <xf numFmtId="0" fontId="0" fillId="0" borderId="0" xfId="0" applyFont="1" applyAlignment="1">
      <alignment horizontal="left"/>
    </xf>
    <xf numFmtId="0" fontId="0" fillId="0" borderId="0" xfId="0" applyFont="1" applyFill="1" applyAlignment="1">
      <alignment horizontal="right"/>
    </xf>
    <xf numFmtId="0" fontId="63" fillId="0" borderId="0" xfId="3269" applyFont="1"/>
    <xf numFmtId="0" fontId="4" fillId="0" borderId="0" xfId="3269"/>
    <xf numFmtId="0" fontId="26" fillId="0" borderId="0" xfId="3269" applyFont="1"/>
    <xf numFmtId="0" fontId="26" fillId="0" borderId="15" xfId="3269" applyFont="1" applyBorder="1"/>
    <xf numFmtId="0" fontId="26" fillId="32" borderId="0" xfId="3269" applyFont="1" applyFill="1"/>
    <xf numFmtId="0" fontId="0" fillId="0" borderId="0" xfId="3269" applyFont="1"/>
    <xf numFmtId="0" fontId="64" fillId="70" borderId="0" xfId="3269" applyFont="1" applyFill="1"/>
    <xf numFmtId="0" fontId="0" fillId="0" borderId="0" xfId="0"/>
    <xf numFmtId="0" fontId="29" fillId="0" borderId="0" xfId="2" applyFont="1" applyFill="1"/>
    <xf numFmtId="0" fontId="37" fillId="0" borderId="19" xfId="0" applyFont="1" applyFill="1" applyBorder="1" applyAlignment="1">
      <alignment vertical="center" wrapText="1"/>
    </xf>
    <xf numFmtId="0" fontId="33" fillId="0" borderId="19" xfId="0" applyFont="1" applyFill="1" applyBorder="1" applyAlignment="1">
      <alignment vertical="center" wrapText="1"/>
    </xf>
    <xf numFmtId="178" fontId="0" fillId="0" borderId="0" xfId="0" applyNumberFormat="1"/>
    <xf numFmtId="9" fontId="0" fillId="0" borderId="0" xfId="0" applyNumberFormat="1" applyFont="1" applyFill="1"/>
    <xf numFmtId="2" fontId="0" fillId="0" borderId="0" xfId="0" applyNumberFormat="1" applyFont="1" applyFill="1"/>
    <xf numFmtId="0" fontId="33" fillId="0" borderId="18" xfId="0" applyFont="1" applyBorder="1" applyAlignment="1">
      <alignment vertical="center" wrapText="1"/>
    </xf>
    <xf numFmtId="174" fontId="0" fillId="0" borderId="15" xfId="4" applyNumberFormat="1" applyFont="1" applyFill="1" applyBorder="1"/>
    <xf numFmtId="0" fontId="0" fillId="0" borderId="15" xfId="0" applyBorder="1"/>
    <xf numFmtId="174" fontId="0" fillId="0" borderId="15" xfId="0" applyNumberFormat="1" applyFont="1" applyBorder="1"/>
    <xf numFmtId="9" fontId="0" fillId="0" borderId="0" xfId="436" applyFont="1"/>
    <xf numFmtId="0" fontId="0" fillId="0" borderId="0" xfId="0" applyFill="1" applyBorder="1"/>
    <xf numFmtId="14" fontId="0" fillId="0" borderId="0" xfId="0" applyNumberFormat="1" applyFont="1" applyAlignment="1">
      <alignment horizontal="left"/>
    </xf>
    <xf numFmtId="0" fontId="33" fillId="0" borderId="0" xfId="0" applyFont="1" applyBorder="1" applyAlignment="1">
      <alignment vertical="center" wrapText="1"/>
    </xf>
    <xf numFmtId="0" fontId="0" fillId="0" borderId="0" xfId="0" applyBorder="1"/>
    <xf numFmtId="2" fontId="0" fillId="0" borderId="0" xfId="0" applyNumberFormat="1" applyFont="1"/>
    <xf numFmtId="174" fontId="0" fillId="0" borderId="0" xfId="0" applyNumberFormat="1" applyFont="1" applyFill="1" applyBorder="1"/>
    <xf numFmtId="2" fontId="29" fillId="3" borderId="1" xfId="0" applyNumberFormat="1" applyFont="1" applyFill="1" applyBorder="1" applyAlignment="1">
      <alignment horizontal="left" vertical="center" wrapText="1"/>
    </xf>
    <xf numFmtId="2" fontId="29" fillId="4" borderId="1" xfId="0" applyNumberFormat="1" applyFont="1" applyFill="1" applyBorder="1" applyAlignment="1">
      <alignment vertical="top" wrapText="1"/>
    </xf>
    <xf numFmtId="2" fontId="29" fillId="5" borderId="3" xfId="0" applyNumberFormat="1" applyFont="1" applyFill="1" applyBorder="1" applyAlignment="1">
      <alignment horizontal="right"/>
    </xf>
    <xf numFmtId="2" fontId="0" fillId="0" borderId="0" xfId="436" applyNumberFormat="1" applyFont="1"/>
    <xf numFmtId="1" fontId="0" fillId="0" borderId="0" xfId="0" applyNumberFormat="1"/>
    <xf numFmtId="174" fontId="0" fillId="0" borderId="0" xfId="4" applyNumberFormat="1" applyFont="1" applyFill="1" applyBorder="1"/>
    <xf numFmtId="174" fontId="0" fillId="0" borderId="1" xfId="0" applyNumberFormat="1" applyFont="1" applyBorder="1"/>
    <xf numFmtId="174" fontId="0" fillId="0" borderId="1" xfId="4" applyNumberFormat="1" applyFont="1" applyFill="1" applyBorder="1"/>
    <xf numFmtId="2" fontId="70" fillId="0" borderId="0" xfId="2" applyNumberFormat="1" applyFont="1" applyFill="1"/>
    <xf numFmtId="2" fontId="29" fillId="0" borderId="0" xfId="2" applyNumberFormat="1" applyFont="1" applyFill="1"/>
    <xf numFmtId="169" fontId="70" fillId="0" borderId="0" xfId="2" applyNumberFormat="1" applyFont="1" applyFill="1"/>
    <xf numFmtId="1" fontId="70" fillId="0" borderId="0" xfId="2" applyNumberFormat="1" applyFont="1" applyFill="1"/>
    <xf numFmtId="1" fontId="29" fillId="0" borderId="0" xfId="2" applyNumberFormat="1" applyFont="1" applyFill="1"/>
    <xf numFmtId="0" fontId="29" fillId="0" borderId="0" xfId="2" applyFont="1" applyFill="1" applyBorder="1"/>
    <xf numFmtId="0" fontId="29" fillId="5" borderId="30" xfId="0" applyFont="1" applyFill="1" applyBorder="1" applyAlignment="1">
      <alignment horizontal="right"/>
    </xf>
    <xf numFmtId="0" fontId="0" fillId="0" borderId="0" xfId="0" applyNumberFormat="1" applyFont="1" applyBorder="1"/>
    <xf numFmtId="0" fontId="0" fillId="0" borderId="0" xfId="0"/>
    <xf numFmtId="0" fontId="29" fillId="0" borderId="0" xfId="2" applyFont="1" applyFill="1"/>
    <xf numFmtId="174" fontId="0" fillId="0" borderId="0" xfId="4" applyNumberFormat="1" applyFont="1" applyFill="1"/>
    <xf numFmtId="174" fontId="0" fillId="0" borderId="0" xfId="0" applyNumberFormat="1" applyFont="1" applyFill="1"/>
    <xf numFmtId="174" fontId="0" fillId="0" borderId="0" xfId="4" applyNumberFormat="1" applyFont="1" applyFill="1" applyBorder="1"/>
    <xf numFmtId="0" fontId="29" fillId="0" borderId="0" xfId="2" applyFont="1" applyFill="1"/>
    <xf numFmtId="0" fontId="0" fillId="0" borderId="0" xfId="0"/>
    <xf numFmtId="174" fontId="0" fillId="0" borderId="0" xfId="0" applyNumberFormat="1" applyFont="1" applyFill="1"/>
    <xf numFmtId="0" fontId="29" fillId="0" borderId="0" xfId="2" applyFont="1" applyFill="1"/>
    <xf numFmtId="0" fontId="0" fillId="0" borderId="0" xfId="0"/>
    <xf numFmtId="0" fontId="0" fillId="0" borderId="0" xfId="0" applyFont="1"/>
    <xf numFmtId="0" fontId="0" fillId="0" borderId="0" xfId="0" applyFont="1" applyFill="1"/>
    <xf numFmtId="0" fontId="29" fillId="0" borderId="0" xfId="2" applyFont="1" applyFill="1"/>
    <xf numFmtId="2" fontId="70" fillId="0" borderId="0" xfId="2" applyNumberFormat="1" applyFont="1" applyFill="1"/>
    <xf numFmtId="2" fontId="29" fillId="0" borderId="0" xfId="2" applyNumberFormat="1" applyFont="1" applyFill="1"/>
    <xf numFmtId="169" fontId="70" fillId="0" borderId="0" xfId="2" applyNumberFormat="1" applyFont="1" applyFill="1"/>
    <xf numFmtId="0" fontId="29" fillId="0" borderId="0" xfId="2" applyFont="1" applyFill="1" applyBorder="1"/>
    <xf numFmtId="174" fontId="0" fillId="0" borderId="0" xfId="0" applyNumberFormat="1" applyFont="1"/>
    <xf numFmtId="174" fontId="0" fillId="0" borderId="0" xfId="4" applyNumberFormat="1" applyFont="1" applyFill="1"/>
    <xf numFmtId="174" fontId="0" fillId="0" borderId="0" xfId="0" applyNumberFormat="1" applyFont="1" applyFill="1"/>
    <xf numFmtId="174" fontId="0" fillId="0" borderId="0" xfId="0" applyNumberFormat="1" applyFont="1" applyFill="1" applyBorder="1"/>
    <xf numFmtId="174" fontId="0" fillId="0" borderId="0" xfId="4" applyNumberFormat="1" applyFont="1" applyFill="1" applyBorder="1"/>
    <xf numFmtId="174" fontId="0" fillId="0" borderId="15" xfId="0" applyNumberFormat="1" applyFont="1" applyFill="1" applyBorder="1"/>
    <xf numFmtId="0" fontId="0" fillId="0" borderId="0" xfId="0"/>
    <xf numFmtId="0" fontId="29" fillId="0" borderId="0" xfId="2" applyFont="1" applyFill="1"/>
    <xf numFmtId="0" fontId="29" fillId="0" borderId="0" xfId="2" applyFont="1" applyFill="1" applyBorder="1"/>
    <xf numFmtId="174" fontId="0" fillId="0" borderId="0" xfId="0" applyNumberFormat="1" applyFont="1" applyFill="1"/>
    <xf numFmtId="174" fontId="0" fillId="0" borderId="0" xfId="0" applyNumberFormat="1" applyFont="1" applyFill="1" applyBorder="1"/>
    <xf numFmtId="0" fontId="29" fillId="0" borderId="0" xfId="2" applyFont="1" applyFill="1"/>
    <xf numFmtId="0" fontId="29" fillId="0" borderId="0" xfId="2" applyFont="1" applyFill="1"/>
    <xf numFmtId="0" fontId="0" fillId="0" borderId="0" xfId="0"/>
    <xf numFmtId="0" fontId="0" fillId="0" borderId="0" xfId="0" applyFont="1"/>
    <xf numFmtId="0" fontId="29" fillId="0" borderId="0" xfId="2" applyFont="1" applyFill="1"/>
    <xf numFmtId="0" fontId="29" fillId="0" borderId="0" xfId="2" applyFont="1" applyFill="1" applyBorder="1"/>
    <xf numFmtId="174" fontId="0" fillId="0" borderId="0" xfId="0" applyNumberFormat="1" applyFont="1"/>
    <xf numFmtId="174" fontId="0" fillId="0" borderId="0" xfId="4" applyNumberFormat="1" applyFont="1" applyFill="1"/>
    <xf numFmtId="174" fontId="0" fillId="0" borderId="0" xfId="4" applyNumberFormat="1" applyFont="1" applyFill="1" applyBorder="1"/>
    <xf numFmtId="0" fontId="0" fillId="0" borderId="46" xfId="0" applyBorder="1"/>
    <xf numFmtId="0" fontId="0" fillId="0" borderId="0" xfId="0"/>
    <xf numFmtId="173" fontId="0" fillId="0" borderId="0" xfId="0" applyNumberFormat="1" applyFont="1" applyFill="1"/>
    <xf numFmtId="173" fontId="0" fillId="0" borderId="0" xfId="0" applyNumberFormat="1" applyBorder="1"/>
    <xf numFmtId="2" fontId="0" fillId="0" borderId="0" xfId="0" applyNumberFormat="1"/>
    <xf numFmtId="0" fontId="0" fillId="0" borderId="0" xfId="0" applyAlignment="1"/>
    <xf numFmtId="0" fontId="73" fillId="4" borderId="1" xfId="0" applyFont="1" applyFill="1" applyBorder="1" applyAlignment="1">
      <alignment vertical="top" wrapText="1"/>
    </xf>
    <xf numFmtId="0" fontId="73" fillId="4" borderId="2" xfId="0" applyFont="1" applyFill="1" applyBorder="1" applyAlignment="1">
      <alignment vertical="top" wrapText="1"/>
    </xf>
    <xf numFmtId="0" fontId="33" fillId="0" borderId="0" xfId="0" applyFont="1" applyAlignment="1">
      <alignment wrapText="1"/>
    </xf>
    <xf numFmtId="0" fontId="29" fillId="3" borderId="1" xfId="0" applyFont="1" applyFill="1" applyBorder="1" applyAlignment="1">
      <alignment horizontal="left" vertical="center"/>
    </xf>
    <xf numFmtId="0" fontId="29" fillId="3" borderId="2" xfId="0" applyFont="1" applyFill="1" applyBorder="1" applyAlignment="1">
      <alignment horizontal="left" vertical="center"/>
    </xf>
    <xf numFmtId="173" fontId="29" fillId="0" borderId="0" xfId="2" applyNumberFormat="1" applyFont="1" applyFill="1"/>
    <xf numFmtId="0" fontId="0" fillId="0" borderId="1" xfId="0" applyNumberFormat="1" applyFont="1" applyBorder="1"/>
    <xf numFmtId="0" fontId="0" fillId="0" borderId="1" xfId="0" applyBorder="1"/>
    <xf numFmtId="0" fontId="0" fillId="0" borderId="0" xfId="0"/>
    <xf numFmtId="0" fontId="74" fillId="74" borderId="47" xfId="0" applyFont="1" applyFill="1" applyBorder="1" applyAlignment="1">
      <alignment vertical="center" wrapText="1"/>
    </xf>
    <xf numFmtId="0" fontId="74" fillId="74" borderId="48" xfId="0" applyFont="1" applyFill="1" applyBorder="1" applyAlignment="1">
      <alignment horizontal="center" vertical="center" wrapText="1"/>
    </xf>
    <xf numFmtId="0" fontId="0" fillId="75" borderId="0" xfId="0" applyFill="1"/>
    <xf numFmtId="0" fontId="74" fillId="74" borderId="52" xfId="0" applyFont="1" applyFill="1" applyBorder="1" applyAlignment="1">
      <alignment vertical="center" wrapText="1"/>
    </xf>
    <xf numFmtId="0" fontId="76" fillId="76" borderId="53" xfId="0" applyFont="1" applyFill="1" applyBorder="1" applyAlignment="1">
      <alignment horizontal="center" vertical="center" wrapText="1"/>
    </xf>
    <xf numFmtId="0" fontId="77" fillId="76" borderId="53" xfId="0" applyFont="1" applyFill="1" applyBorder="1" applyAlignment="1">
      <alignment horizontal="center" vertical="center" wrapText="1"/>
    </xf>
    <xf numFmtId="0" fontId="76" fillId="77" borderId="54" xfId="0" applyFont="1" applyFill="1" applyBorder="1" applyAlignment="1">
      <alignment horizontal="center" vertical="center" wrapText="1"/>
    </xf>
    <xf numFmtId="0" fontId="77" fillId="77" borderId="54" xfId="0" applyFont="1" applyFill="1" applyBorder="1" applyAlignment="1">
      <alignment horizontal="center" vertical="center" wrapText="1"/>
    </xf>
    <xf numFmtId="0" fontId="76" fillId="76" borderId="54" xfId="0" applyFont="1" applyFill="1" applyBorder="1" applyAlignment="1">
      <alignment horizontal="center" vertical="center" wrapText="1"/>
    </xf>
    <xf numFmtId="0" fontId="77" fillId="76" borderId="54" xfId="0" applyFont="1" applyFill="1" applyBorder="1" applyAlignment="1">
      <alignment horizontal="center" vertical="center" wrapText="1"/>
    </xf>
    <xf numFmtId="0" fontId="0" fillId="4" borderId="0" xfId="0" applyFill="1"/>
    <xf numFmtId="0" fontId="0" fillId="78" borderId="0" xfId="0" applyFont="1" applyFill="1"/>
    <xf numFmtId="0" fontId="0" fillId="78" borderId="0" xfId="0" applyFill="1"/>
    <xf numFmtId="0" fontId="74" fillId="74" borderId="58" xfId="0" applyFont="1" applyFill="1" applyBorder="1" applyAlignment="1">
      <alignment vertical="center" wrapText="1"/>
    </xf>
    <xf numFmtId="0" fontId="76" fillId="77" borderId="53" xfId="0" applyFont="1" applyFill="1" applyBorder="1" applyAlignment="1">
      <alignment horizontal="center" vertical="center" wrapText="1"/>
    </xf>
    <xf numFmtId="0" fontId="77" fillId="77" borderId="53" xfId="0" applyFont="1" applyFill="1" applyBorder="1" applyAlignment="1">
      <alignment horizontal="center" vertical="center" wrapText="1"/>
    </xf>
    <xf numFmtId="0" fontId="80" fillId="0" borderId="0" xfId="0" applyFont="1"/>
    <xf numFmtId="0" fontId="77" fillId="79" borderId="53" xfId="0" applyFont="1" applyFill="1" applyBorder="1" applyAlignment="1">
      <alignment horizontal="center" vertical="center" wrapText="1"/>
    </xf>
    <xf numFmtId="0" fontId="76" fillId="79" borderId="53" xfId="0" applyFont="1" applyFill="1" applyBorder="1" applyAlignment="1">
      <alignment horizontal="center" vertical="center" wrapText="1"/>
    </xf>
    <xf numFmtId="0" fontId="74" fillId="80" borderId="58" xfId="0" applyFont="1" applyFill="1" applyBorder="1" applyAlignment="1">
      <alignment vertical="center" wrapText="1"/>
    </xf>
    <xf numFmtId="0" fontId="77" fillId="79" borderId="54" xfId="0" applyFont="1" applyFill="1" applyBorder="1" applyAlignment="1">
      <alignment horizontal="center" vertical="center" wrapText="1"/>
    </xf>
    <xf numFmtId="0" fontId="76" fillId="79" borderId="54" xfId="0" applyFont="1" applyFill="1" applyBorder="1" applyAlignment="1">
      <alignment horizontal="center" vertical="center" wrapText="1"/>
    </xf>
    <xf numFmtId="0" fontId="74" fillId="80" borderId="52" xfId="0" applyFont="1" applyFill="1" applyBorder="1" applyAlignment="1">
      <alignment vertical="center" wrapText="1"/>
    </xf>
    <xf numFmtId="0" fontId="77" fillId="81" borderId="54" xfId="0" applyFont="1" applyFill="1" applyBorder="1" applyAlignment="1">
      <alignment horizontal="center" vertical="center" wrapText="1"/>
    </xf>
    <xf numFmtId="0" fontId="76" fillId="81" borderId="54" xfId="0" applyFont="1" applyFill="1" applyBorder="1" applyAlignment="1">
      <alignment horizontal="center" vertical="center" wrapText="1"/>
    </xf>
    <xf numFmtId="0" fontId="77" fillId="81" borderId="53" xfId="0" applyFont="1" applyFill="1" applyBorder="1" applyAlignment="1">
      <alignment horizontal="center" vertical="center" wrapText="1"/>
    </xf>
    <xf numFmtId="0" fontId="76" fillId="81" borderId="53" xfId="0" applyFont="1" applyFill="1" applyBorder="1" applyAlignment="1">
      <alignment horizontal="center" vertical="center" wrapText="1"/>
    </xf>
    <xf numFmtId="0" fontId="74" fillId="80" borderId="48" xfId="0" applyFont="1" applyFill="1" applyBorder="1" applyAlignment="1">
      <alignment horizontal="center" vertical="center" wrapText="1"/>
    </xf>
    <xf numFmtId="0" fontId="74" fillId="80" borderId="47" xfId="0" applyFont="1" applyFill="1" applyBorder="1" applyAlignment="1">
      <alignment vertical="center" wrapText="1"/>
    </xf>
    <xf numFmtId="9" fontId="0" fillId="0" borderId="0" xfId="0" applyNumberFormat="1"/>
    <xf numFmtId="0" fontId="81" fillId="80" borderId="52" xfId="0" applyFont="1" applyFill="1" applyBorder="1" applyAlignment="1">
      <alignment vertical="center" wrapText="1"/>
    </xf>
    <xf numFmtId="0" fontId="82" fillId="0" borderId="0" xfId="0" applyFont="1"/>
    <xf numFmtId="0" fontId="29" fillId="82" borderId="1" xfId="0" applyFont="1" applyFill="1" applyBorder="1" applyAlignment="1">
      <alignment horizontal="left" vertical="center" wrapText="1"/>
    </xf>
    <xf numFmtId="0" fontId="29" fillId="5" borderId="3" xfId="0" applyFont="1" applyFill="1" applyBorder="1" applyAlignment="1">
      <alignment horizontal="left" wrapText="1"/>
    </xf>
    <xf numFmtId="0" fontId="83" fillId="0" borderId="0" xfId="2" applyFont="1" applyFill="1"/>
    <xf numFmtId="0" fontId="83" fillId="0" borderId="0" xfId="2" applyFont="1" applyFill="1" applyBorder="1"/>
    <xf numFmtId="0" fontId="83" fillId="0" borderId="0" xfId="0" applyFont="1"/>
    <xf numFmtId="2" fontId="83" fillId="0" borderId="0" xfId="2" applyNumberFormat="1" applyFont="1" applyFill="1"/>
    <xf numFmtId="169" fontId="83" fillId="0" borderId="0" xfId="2" applyNumberFormat="1" applyFont="1" applyFill="1"/>
    <xf numFmtId="0" fontId="83" fillId="0" borderId="0" xfId="0" applyFont="1" applyFill="1"/>
    <xf numFmtId="0" fontId="29" fillId="3" borderId="0" xfId="0" applyFont="1" applyFill="1" applyBorder="1" applyAlignment="1">
      <alignment horizontal="left" vertical="center" wrapText="1"/>
    </xf>
    <xf numFmtId="0" fontId="0" fillId="41" borderId="0" xfId="0" applyFont="1" applyFill="1"/>
    <xf numFmtId="0" fontId="83" fillId="41" borderId="0" xfId="0" applyFont="1" applyFill="1"/>
    <xf numFmtId="0" fontId="4" fillId="0" borderId="0" xfId="19" applyFont="1"/>
    <xf numFmtId="0" fontId="0" fillId="0" borderId="0" xfId="0" applyFont="1" applyFill="1" applyAlignment="1">
      <alignment horizontal="left"/>
    </xf>
    <xf numFmtId="0" fontId="0" fillId="0" borderId="59" xfId="0" applyBorder="1"/>
    <xf numFmtId="0" fontId="0" fillId="0" borderId="60" xfId="0" applyBorder="1"/>
    <xf numFmtId="0" fontId="0" fillId="0" borderId="61" xfId="0" applyBorder="1"/>
    <xf numFmtId="0" fontId="0" fillId="0" borderId="62" xfId="0" applyBorder="1"/>
    <xf numFmtId="2" fontId="0" fillId="0" borderId="61" xfId="0" applyNumberFormat="1" applyBorder="1"/>
    <xf numFmtId="0" fontId="0" fillId="0" borderId="61" xfId="0" applyFont="1" applyFill="1" applyBorder="1"/>
    <xf numFmtId="0" fontId="0" fillId="0" borderId="62" xfId="0" applyFont="1" applyFill="1" applyBorder="1"/>
    <xf numFmtId="0" fontId="0" fillId="0" borderId="63" xfId="0" applyBorder="1"/>
    <xf numFmtId="0" fontId="0" fillId="0" borderId="64" xfId="0" applyBorder="1"/>
    <xf numFmtId="0" fontId="0" fillId="0" borderId="46" xfId="0" applyFont="1" applyFill="1" applyBorder="1"/>
    <xf numFmtId="0" fontId="0" fillId="0" borderId="60" xfId="0" applyFont="1" applyFill="1" applyBorder="1"/>
    <xf numFmtId="0" fontId="0" fillId="0" borderId="63" xfId="0" applyFont="1" applyFill="1" applyBorder="1"/>
    <xf numFmtId="0" fontId="0" fillId="0" borderId="59" xfId="0" applyFont="1" applyFill="1" applyBorder="1"/>
    <xf numFmtId="180" fontId="0" fillId="0" borderId="59" xfId="0" applyNumberFormat="1" applyBorder="1"/>
    <xf numFmtId="0" fontId="0" fillId="0" borderId="62" xfId="0" applyFill="1" applyBorder="1"/>
    <xf numFmtId="0" fontId="0" fillId="0" borderId="0" xfId="0" applyNumberFormat="1"/>
    <xf numFmtId="174" fontId="0" fillId="0" borderId="0" xfId="0" applyNumberFormat="1" applyFont="1" applyBorder="1"/>
    <xf numFmtId="0" fontId="38" fillId="0" borderId="0" xfId="7721"/>
    <xf numFmtId="174" fontId="0" fillId="0" borderId="1" xfId="0" applyNumberFormat="1" applyFont="1" applyFill="1" applyBorder="1"/>
    <xf numFmtId="0" fontId="38" fillId="0" borderId="0" xfId="7721" applyFont="1"/>
    <xf numFmtId="0" fontId="83" fillId="0" borderId="0" xfId="7721" applyFont="1"/>
    <xf numFmtId="0" fontId="0" fillId="0" borderId="0" xfId="7721" applyFont="1"/>
    <xf numFmtId="0" fontId="29" fillId="0" borderId="0" xfId="7721" applyFont="1"/>
    <xf numFmtId="0" fontId="38" fillId="0" borderId="0" xfId="7721" applyFill="1"/>
    <xf numFmtId="1" fontId="38" fillId="0" borderId="0" xfId="7721" applyNumberFormat="1"/>
    <xf numFmtId="0" fontId="38" fillId="0" borderId="45" xfId="7721" applyBorder="1"/>
    <xf numFmtId="0" fontId="26" fillId="0" borderId="0" xfId="7721" applyFont="1"/>
    <xf numFmtId="169" fontId="38" fillId="0" borderId="0" xfId="7721" applyNumberFormat="1"/>
    <xf numFmtId="0" fontId="38" fillId="83" borderId="0" xfId="7721" applyFill="1"/>
    <xf numFmtId="0" fontId="38" fillId="6" borderId="0" xfId="7721" applyFill="1"/>
    <xf numFmtId="0" fontId="38" fillId="78" borderId="0" xfId="7721" applyFill="1"/>
    <xf numFmtId="0" fontId="38" fillId="41" borderId="0" xfId="7721" applyFill="1"/>
    <xf numFmtId="0" fontId="38" fillId="82" borderId="0" xfId="7721" applyFill="1"/>
    <xf numFmtId="0" fontId="0" fillId="0" borderId="0" xfId="436" applyNumberFormat="1" applyFont="1" applyFill="1" applyAlignment="1">
      <alignment horizontal="right"/>
    </xf>
    <xf numFmtId="0" fontId="0" fillId="0" borderId="0" xfId="0" applyFont="1" applyFill="1" applyAlignment="1">
      <alignment horizontal="center" wrapText="1"/>
    </xf>
    <xf numFmtId="0" fontId="26" fillId="0" borderId="0" xfId="0" applyFont="1" applyAlignment="1"/>
    <xf numFmtId="0" fontId="29" fillId="4" borderId="0" xfId="0" applyFont="1" applyFill="1" applyBorder="1" applyAlignment="1">
      <alignment vertical="top" wrapText="1"/>
    </xf>
    <xf numFmtId="0" fontId="29" fillId="5" borderId="0" xfId="0" applyFont="1" applyFill="1" applyBorder="1" applyAlignment="1">
      <alignment horizontal="right"/>
    </xf>
    <xf numFmtId="0" fontId="29" fillId="0" borderId="0" xfId="0" applyFont="1" applyFill="1" applyBorder="1" applyAlignment="1">
      <alignment horizontal="left"/>
    </xf>
    <xf numFmtId="0" fontId="29" fillId="0" borderId="0" xfId="0" applyFont="1" applyFill="1" applyBorder="1" applyAlignment="1">
      <alignment horizontal="right"/>
    </xf>
    <xf numFmtId="2" fontId="29" fillId="0" borderId="0" xfId="0" applyNumberFormat="1" applyFont="1" applyFill="1" applyBorder="1" applyAlignment="1">
      <alignment horizontal="right"/>
    </xf>
    <xf numFmtId="0" fontId="84" fillId="84" borderId="0" xfId="3269" applyFont="1" applyFill="1"/>
    <xf numFmtId="0" fontId="4" fillId="4" borderId="0" xfId="3269" applyFont="1" applyFill="1"/>
    <xf numFmtId="0" fontId="85" fillId="4" borderId="0" xfId="3269" applyFont="1" applyFill="1"/>
    <xf numFmtId="0" fontId="4" fillId="0" borderId="0" xfId="3269" applyFont="1"/>
    <xf numFmtId="0" fontId="4" fillId="2" borderId="0" xfId="3269" applyFill="1"/>
    <xf numFmtId="0" fontId="2" fillId="3" borderId="65" xfId="3269" applyFont="1" applyFill="1" applyBorder="1" applyAlignment="1">
      <alignment horizontal="left" vertical="center" wrapText="1"/>
    </xf>
    <xf numFmtId="1" fontId="2" fillId="85" borderId="66" xfId="3269" applyNumberFormat="1" applyFont="1" applyFill="1" applyBorder="1" applyAlignment="1">
      <alignment horizontal="right"/>
    </xf>
    <xf numFmtId="1" fontId="2" fillId="85" borderId="65" xfId="3269" applyNumberFormat="1" applyFont="1" applyFill="1" applyBorder="1" applyAlignment="1">
      <alignment horizontal="right"/>
    </xf>
    <xf numFmtId="0" fontId="2" fillId="9" borderId="45" xfId="3269" applyFont="1" applyFill="1" applyBorder="1" applyAlignment="1">
      <alignment horizontal="left" wrapText="1"/>
    </xf>
    <xf numFmtId="0" fontId="2" fillId="9" borderId="45" xfId="3269" applyFont="1" applyFill="1" applyBorder="1" applyAlignment="1">
      <alignment horizontal="right" wrapText="1"/>
    </xf>
    <xf numFmtId="0" fontId="2" fillId="86" borderId="0" xfId="3269" applyFont="1" applyFill="1"/>
    <xf numFmtId="181" fontId="2" fillId="86" borderId="0" xfId="3269" applyNumberFormat="1" applyFont="1" applyFill="1"/>
    <xf numFmtId="14" fontId="0" fillId="0" borderId="0" xfId="0" applyNumberFormat="1" applyFont="1"/>
    <xf numFmtId="0" fontId="2" fillId="0" borderId="0" xfId="0" applyFont="1" applyFill="1" applyBorder="1"/>
    <xf numFmtId="0" fontId="86" fillId="87" borderId="0" xfId="1338" applyFont="1" applyFill="1" applyBorder="1"/>
    <xf numFmtId="0" fontId="2" fillId="88" borderId="65" xfId="1338" applyFont="1" applyFill="1" applyBorder="1" applyAlignment="1">
      <alignment horizontal="left" vertical="center" wrapText="1"/>
    </xf>
    <xf numFmtId="0" fontId="2" fillId="88" borderId="65" xfId="1338" applyFont="1" applyFill="1" applyBorder="1" applyAlignment="1">
      <alignment horizontal="left" vertical="top" wrapText="1"/>
    </xf>
    <xf numFmtId="0" fontId="2" fillId="88" borderId="65" xfId="1338" applyFont="1" applyFill="1" applyBorder="1" applyAlignment="1">
      <alignment horizontal="right" vertical="center" wrapText="1"/>
    </xf>
    <xf numFmtId="181" fontId="2" fillId="89" borderId="0" xfId="1338" applyNumberFormat="1" applyFont="1" applyFill="1" applyBorder="1"/>
    <xf numFmtId="181" fontId="2" fillId="89" borderId="0" xfId="0" applyNumberFormat="1" applyFont="1" applyFill="1" applyBorder="1"/>
    <xf numFmtId="0" fontId="2" fillId="89" borderId="0" xfId="1338" applyFont="1" applyFill="1" applyBorder="1"/>
    <xf numFmtId="0" fontId="83" fillId="3" borderId="1" xfId="0" applyFont="1" applyFill="1" applyBorder="1" applyAlignment="1">
      <alignment horizontal="left" vertical="center" wrapText="1"/>
    </xf>
    <xf numFmtId="0" fontId="83" fillId="3" borderId="60" xfId="0" applyFont="1" applyFill="1" applyBorder="1" applyAlignment="1">
      <alignment horizontal="left" vertical="center" wrapText="1"/>
    </xf>
    <xf numFmtId="0" fontId="1" fillId="6" borderId="0" xfId="4489" applyFont="1" applyFill="1" applyBorder="1" applyAlignment="1"/>
    <xf numFmtId="174" fontId="29" fillId="9" borderId="3" xfId="4" quotePrefix="1" applyNumberFormat="1" applyFont="1" applyFill="1" applyBorder="1" applyAlignment="1">
      <alignment horizontal="left" vertical="top"/>
    </xf>
    <xf numFmtId="174" fontId="30" fillId="32" borderId="1" xfId="4" applyNumberFormat="1" applyFont="1" applyFill="1" applyBorder="1"/>
    <xf numFmtId="174" fontId="30" fillId="32" borderId="5" xfId="4" applyNumberFormat="1" applyFont="1" applyFill="1" applyBorder="1"/>
    <xf numFmtId="0" fontId="0" fillId="0" borderId="0" xfId="0" applyFont="1" applyFill="1" applyAlignment="1">
      <alignment vertical="top" wrapText="1"/>
    </xf>
    <xf numFmtId="0" fontId="29" fillId="3" borderId="60" xfId="0" applyFont="1" applyFill="1" applyBorder="1" applyAlignment="1">
      <alignment horizontal="left" vertical="center" wrapText="1"/>
    </xf>
    <xf numFmtId="0" fontId="29" fillId="3" borderId="0" xfId="0" applyFont="1" applyFill="1" applyAlignment="1">
      <alignment horizontal="left" vertical="center" wrapText="1"/>
    </xf>
    <xf numFmtId="0" fontId="29" fillId="4" borderId="60" xfId="0" applyFont="1" applyFill="1" applyBorder="1" applyAlignment="1">
      <alignment vertical="top" wrapText="1"/>
    </xf>
    <xf numFmtId="2" fontId="29" fillId="0" borderId="0" xfId="2" applyNumberFormat="1" applyFont="1"/>
    <xf numFmtId="0" fontId="87" fillId="90" borderId="59" xfId="0" applyFont="1" applyFill="1" applyBorder="1" applyAlignment="1">
      <alignment vertical="center" wrapText="1"/>
    </xf>
    <xf numFmtId="0" fontId="29" fillId="0" borderId="0" xfId="0" applyFont="1"/>
    <xf numFmtId="0" fontId="73" fillId="90" borderId="66" xfId="0" applyFont="1" applyFill="1" applyBorder="1" applyAlignment="1">
      <alignment vertical="center" wrapText="1"/>
    </xf>
    <xf numFmtId="0" fontId="89" fillId="90" borderId="66" xfId="0" applyFont="1" applyFill="1" applyBorder="1" applyAlignment="1">
      <alignment horizontal="center" vertical="center" wrapText="1"/>
    </xf>
    <xf numFmtId="0" fontId="89" fillId="90" borderId="39" xfId="0" applyFont="1" applyFill="1" applyBorder="1" applyAlignment="1">
      <alignment horizontal="center" vertical="center" wrapText="1"/>
    </xf>
    <xf numFmtId="0" fontId="89" fillId="90" borderId="0" xfId="0" applyFont="1" applyFill="1" applyAlignment="1">
      <alignment horizontal="center" vertical="center" wrapText="1"/>
    </xf>
    <xf numFmtId="0" fontId="89" fillId="90" borderId="62" xfId="0" applyFont="1" applyFill="1" applyBorder="1" applyAlignment="1">
      <alignment horizontal="center" vertical="center" wrapText="1"/>
    </xf>
    <xf numFmtId="0" fontId="89" fillId="90" borderId="66" xfId="0" applyFont="1" applyFill="1" applyBorder="1" applyAlignment="1">
      <alignment vertical="center" wrapText="1"/>
    </xf>
    <xf numFmtId="0" fontId="89" fillId="90" borderId="15" xfId="0" applyFont="1" applyFill="1" applyBorder="1" applyAlignment="1">
      <alignment vertical="center" wrapText="1"/>
    </xf>
    <xf numFmtId="0" fontId="89" fillId="90" borderId="65" xfId="0" applyFont="1" applyFill="1" applyBorder="1" applyAlignment="1">
      <alignment vertical="center" wrapText="1"/>
    </xf>
    <xf numFmtId="0" fontId="89" fillId="90" borderId="65" xfId="0" applyFont="1" applyFill="1" applyBorder="1" applyAlignment="1">
      <alignment horizontal="center" vertical="center" wrapText="1"/>
    </xf>
    <xf numFmtId="0" fontId="89" fillId="90" borderId="67" xfId="0" applyFont="1" applyFill="1" applyBorder="1" applyAlignment="1">
      <alignment vertical="center" wrapText="1"/>
    </xf>
    <xf numFmtId="0" fontId="90" fillId="90" borderId="66" xfId="0" applyFont="1" applyFill="1" applyBorder="1" applyAlignment="1">
      <alignment vertical="center" wrapText="1"/>
    </xf>
    <xf numFmtId="0" fontId="73" fillId="90" borderId="39" xfId="0" applyFont="1" applyFill="1" applyBorder="1" applyAlignment="1">
      <alignment vertical="center" wrapText="1"/>
    </xf>
    <xf numFmtId="0" fontId="73" fillId="90" borderId="39" xfId="0" applyFont="1" applyFill="1" applyBorder="1" applyAlignment="1">
      <alignment horizontal="center" vertical="center" wrapText="1"/>
    </xf>
    <xf numFmtId="49" fontId="92" fillId="90" borderId="63" xfId="0" applyNumberFormat="1" applyFont="1" applyFill="1" applyBorder="1" applyAlignment="1">
      <alignment vertical="center" wrapText="1"/>
    </xf>
    <xf numFmtId="0" fontId="90" fillId="90" borderId="15" xfId="0" applyFont="1" applyFill="1" applyBorder="1" applyAlignment="1">
      <alignment vertical="center" wrapText="1"/>
    </xf>
    <xf numFmtId="0" fontId="90" fillId="90" borderId="64" xfId="0" applyFont="1" applyFill="1" applyBorder="1" applyAlignment="1">
      <alignment vertical="center" wrapText="1"/>
    </xf>
    <xf numFmtId="0" fontId="73" fillId="90" borderId="64" xfId="0" applyFont="1" applyFill="1" applyBorder="1" applyAlignment="1">
      <alignment horizontal="center" vertical="center" wrapText="1"/>
    </xf>
    <xf numFmtId="0" fontId="73" fillId="90" borderId="68" xfId="0" applyFont="1" applyFill="1" applyBorder="1" applyAlignment="1">
      <alignment horizontal="center" vertical="center" wrapText="1"/>
    </xf>
    <xf numFmtId="0" fontId="73" fillId="90" borderId="68" xfId="0" applyFont="1" applyFill="1" applyBorder="1" applyAlignment="1">
      <alignment vertical="center" wrapText="1"/>
    </xf>
    <xf numFmtId="0" fontId="73" fillId="90" borderId="67" xfId="0" applyFont="1" applyFill="1" applyBorder="1" applyAlignment="1">
      <alignment horizontal="center" vertical="center" wrapText="1"/>
    </xf>
    <xf numFmtId="169" fontId="73" fillId="90" borderId="39" xfId="0" applyNumberFormat="1" applyFont="1" applyFill="1" applyBorder="1" applyAlignment="1">
      <alignment horizontal="center" vertical="center" wrapText="1"/>
    </xf>
    <xf numFmtId="0" fontId="73" fillId="90" borderId="69" xfId="0" applyFont="1" applyFill="1" applyBorder="1" applyAlignment="1">
      <alignment horizontal="left" vertical="center" wrapText="1"/>
    </xf>
    <xf numFmtId="2" fontId="73" fillId="90" borderId="39" xfId="0" applyNumberFormat="1" applyFont="1" applyFill="1" applyBorder="1" applyAlignment="1">
      <alignment horizontal="center" vertical="center" wrapText="1"/>
    </xf>
    <xf numFmtId="49" fontId="92" fillId="90" borderId="68" xfId="0" applyNumberFormat="1" applyFont="1" applyFill="1" applyBorder="1" applyAlignment="1">
      <alignment vertical="center" wrapText="1"/>
    </xf>
    <xf numFmtId="0" fontId="90" fillId="90" borderId="65" xfId="0" applyFont="1" applyFill="1" applyBorder="1" applyAlignment="1">
      <alignment vertical="center" wrapText="1"/>
    </xf>
    <xf numFmtId="0" fontId="90" fillId="90" borderId="67" xfId="0" applyFont="1" applyFill="1" applyBorder="1" applyAlignment="1">
      <alignment vertical="center" wrapText="1"/>
    </xf>
    <xf numFmtId="0" fontId="73" fillId="90" borderId="39" xfId="0" applyFont="1" applyFill="1" applyBorder="1" applyAlignment="1">
      <alignment horizontal="left" vertical="center" wrapText="1"/>
    </xf>
    <xf numFmtId="0" fontId="73" fillId="90" borderId="69" xfId="0" applyFont="1" applyFill="1" applyBorder="1" applyAlignment="1">
      <alignment vertical="center" wrapText="1"/>
    </xf>
    <xf numFmtId="0" fontId="90" fillId="90" borderId="39" xfId="0" applyFont="1" applyFill="1" applyBorder="1" applyAlignment="1">
      <alignment vertical="center" wrapText="1"/>
    </xf>
    <xf numFmtId="0" fontId="73" fillId="90" borderId="70" xfId="0" applyFont="1" applyFill="1" applyBorder="1" applyAlignment="1">
      <alignment horizontal="center" vertical="center" wrapText="1"/>
    </xf>
    <xf numFmtId="0" fontId="29" fillId="0" borderId="39" xfId="0" applyFont="1" applyBorder="1"/>
    <xf numFmtId="182" fontId="29" fillId="0" borderId="0" xfId="0" applyNumberFormat="1" applyFont="1"/>
    <xf numFmtId="0" fontId="73" fillId="90" borderId="70" xfId="0" applyFont="1" applyFill="1" applyBorder="1" applyAlignment="1">
      <alignment vertical="center" wrapText="1"/>
    </xf>
    <xf numFmtId="2" fontId="73" fillId="90" borderId="68" xfId="0" applyNumberFormat="1" applyFont="1" applyFill="1" applyBorder="1" applyAlignment="1">
      <alignment horizontal="center" vertical="center" wrapText="1"/>
    </xf>
    <xf numFmtId="2" fontId="29" fillId="0" borderId="0" xfId="0" applyNumberFormat="1" applyFont="1"/>
    <xf numFmtId="0" fontId="73" fillId="90" borderId="69" xfId="0" applyFont="1" applyFill="1" applyBorder="1" applyAlignment="1">
      <alignment horizontal="center" vertical="center" wrapText="1"/>
    </xf>
    <xf numFmtId="0" fontId="73" fillId="0" borderId="0" xfId="0" applyFont="1" applyAlignment="1">
      <alignment vertical="center"/>
    </xf>
    <xf numFmtId="0" fontId="94" fillId="38" borderId="0" xfId="0" applyFont="1" applyFill="1"/>
    <xf numFmtId="0" fontId="94" fillId="38" borderId="0" xfId="0" applyFont="1" applyFill="1" applyAlignment="1">
      <alignment vertical="center"/>
    </xf>
    <xf numFmtId="0" fontId="29" fillId="0" borderId="0" xfId="0" applyFont="1" applyAlignment="1">
      <alignment horizontal="right"/>
    </xf>
    <xf numFmtId="169" fontId="0" fillId="0" borderId="0" xfId="0" applyNumberFormat="1"/>
    <xf numFmtId="0" fontId="95" fillId="5" borderId="67" xfId="0" applyFont="1" applyFill="1" applyBorder="1" applyAlignment="1">
      <alignment horizontal="center"/>
    </xf>
    <xf numFmtId="0" fontId="95" fillId="5" borderId="1" xfId="0" applyFont="1" applyFill="1" applyBorder="1" applyAlignment="1">
      <alignment horizontal="center"/>
    </xf>
    <xf numFmtId="0" fontId="95" fillId="38" borderId="0" xfId="0" applyFont="1" applyFill="1" applyAlignment="1">
      <alignment horizontal="center"/>
    </xf>
    <xf numFmtId="0" fontId="95" fillId="4" borderId="30" xfId="0" applyFont="1" applyFill="1" applyBorder="1" applyAlignment="1">
      <alignment horizontal="right" vertical="center" wrapText="1"/>
    </xf>
    <xf numFmtId="0" fontId="95" fillId="4" borderId="3" xfId="0" applyFont="1" applyFill="1" applyBorder="1" applyAlignment="1">
      <alignment horizontal="right" vertical="center" wrapText="1"/>
    </xf>
    <xf numFmtId="0" fontId="95" fillId="4" borderId="3" xfId="0" applyFont="1" applyFill="1" applyBorder="1" applyAlignment="1">
      <alignment horizontal="center" vertical="center"/>
    </xf>
    <xf numFmtId="0" fontId="95" fillId="4" borderId="3" xfId="0" applyFont="1" applyFill="1" applyBorder="1" applyAlignment="1">
      <alignment horizontal="center" vertical="center" wrapText="1"/>
    </xf>
    <xf numFmtId="0" fontId="95" fillId="38" borderId="0" xfId="0" applyFont="1" applyFill="1" applyAlignment="1">
      <alignment horizontal="right" vertical="center" wrapText="1"/>
    </xf>
    <xf numFmtId="0" fontId="95" fillId="4" borderId="3" xfId="0" applyFont="1" applyFill="1" applyBorder="1" applyAlignment="1">
      <alignment horizontal="left" vertical="center" wrapText="1"/>
    </xf>
    <xf numFmtId="0" fontId="0" fillId="0" borderId="0" xfId="0" applyAlignment="1">
      <alignment wrapText="1"/>
    </xf>
    <xf numFmtId="0" fontId="2" fillId="3" borderId="0" xfId="0" applyFont="1" applyFill="1" applyAlignment="1">
      <alignment horizontal="right" vertical="center" wrapText="1"/>
    </xf>
    <xf numFmtId="0" fontId="2" fillId="3" borderId="0" xfId="0" applyFont="1" applyFill="1" applyAlignment="1">
      <alignment horizontal="center" vertical="center" wrapText="1"/>
    </xf>
    <xf numFmtId="0" fontId="2" fillId="3" borderId="67" xfId="0" applyFont="1" applyFill="1" applyBorder="1" applyAlignment="1">
      <alignment horizontal="right" vertical="center" wrapText="1"/>
    </xf>
    <xf numFmtId="0" fontId="2" fillId="3" borderId="65" xfId="0" applyFont="1" applyFill="1" applyBorder="1" applyAlignment="1">
      <alignment horizontal="center" vertical="center" wrapText="1"/>
    </xf>
    <xf numFmtId="0" fontId="2" fillId="3" borderId="65" xfId="0" applyFont="1" applyFill="1" applyBorder="1" applyAlignment="1">
      <alignment horizontal="right" vertical="center" wrapText="1"/>
    </xf>
    <xf numFmtId="0" fontId="2" fillId="3" borderId="1" xfId="0" applyFont="1" applyFill="1" applyBorder="1" applyAlignment="1">
      <alignment horizontal="righ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8" borderId="0" xfId="0" applyFont="1" applyFill="1" applyAlignment="1">
      <alignment horizontal="right" vertical="center" wrapText="1"/>
    </xf>
    <xf numFmtId="0" fontId="2" fillId="3" borderId="1" xfId="0" applyFont="1" applyFill="1" applyBorder="1" applyAlignment="1">
      <alignment horizontal="left" vertical="center" wrapText="1"/>
    </xf>
    <xf numFmtId="0" fontId="2" fillId="3" borderId="67" xfId="0" applyFont="1" applyFill="1" applyBorder="1" applyAlignment="1">
      <alignment horizontal="left" vertical="center" wrapText="1"/>
    </xf>
    <xf numFmtId="4" fontId="49" fillId="91" borderId="39" xfId="0" applyNumberFormat="1" applyFont="1" applyFill="1" applyBorder="1" applyAlignment="1">
      <alignment horizontal="right"/>
    </xf>
    <xf numFmtId="0" fontId="96" fillId="0" borderId="0" xfId="0" applyFont="1"/>
    <xf numFmtId="0" fontId="73" fillId="0" borderId="0" xfId="0" applyFont="1" applyAlignment="1">
      <alignment vertical="center" wrapText="1"/>
    </xf>
    <xf numFmtId="0" fontId="73" fillId="90" borderId="0" xfId="0" applyFont="1" applyFill="1" applyAlignment="1">
      <alignment horizontal="center" vertical="center" wrapText="1"/>
    </xf>
    <xf numFmtId="0" fontId="73" fillId="0" borderId="0" xfId="0" applyFont="1" applyAlignment="1">
      <alignment horizontal="center" vertical="center" wrapText="1"/>
    </xf>
    <xf numFmtId="0" fontId="73" fillId="90" borderId="69" xfId="0" quotePrefix="1" applyFont="1" applyFill="1" applyBorder="1" applyAlignment="1">
      <alignment vertical="center" wrapText="1"/>
    </xf>
    <xf numFmtId="0" fontId="73" fillId="0" borderId="39" xfId="0" applyFont="1" applyBorder="1" applyAlignment="1">
      <alignment horizontal="center" vertical="center" wrapText="1"/>
    </xf>
    <xf numFmtId="0" fontId="90" fillId="90" borderId="68" xfId="0" applyFont="1" applyFill="1" applyBorder="1" applyAlignment="1">
      <alignment vertical="center" wrapText="1"/>
    </xf>
    <xf numFmtId="0" fontId="97" fillId="90" borderId="39" xfId="0" applyFont="1" applyFill="1" applyBorder="1" applyAlignment="1">
      <alignment horizontal="center" vertical="center" wrapText="1"/>
    </xf>
    <xf numFmtId="169" fontId="73" fillId="90" borderId="70" xfId="0" applyNumberFormat="1" applyFont="1" applyFill="1" applyBorder="1" applyAlignment="1">
      <alignment horizontal="center" vertical="center" wrapText="1"/>
    </xf>
    <xf numFmtId="0" fontId="97" fillId="90" borderId="70" xfId="0" applyFont="1" applyFill="1" applyBorder="1" applyAlignment="1">
      <alignment horizontal="left" vertical="center" wrapText="1"/>
    </xf>
    <xf numFmtId="0" fontId="29" fillId="0" borderId="69" xfId="0" applyFont="1" applyBorder="1"/>
    <xf numFmtId="0" fontId="73" fillId="90" borderId="70" xfId="0" applyFont="1" applyFill="1" applyBorder="1" applyAlignment="1">
      <alignment horizontal="left" vertical="center" wrapText="1"/>
    </xf>
    <xf numFmtId="0" fontId="73" fillId="90" borderId="68" xfId="0" applyFont="1" applyFill="1" applyBorder="1" applyAlignment="1">
      <alignment horizontal="center" vertical="center"/>
    </xf>
    <xf numFmtId="173" fontId="73" fillId="90" borderId="68" xfId="0" applyNumberFormat="1" applyFont="1" applyFill="1" applyBorder="1" applyAlignment="1">
      <alignment horizontal="center" vertical="center" wrapText="1"/>
    </xf>
    <xf numFmtId="169" fontId="73" fillId="90" borderId="68" xfId="0" applyNumberFormat="1" applyFont="1" applyFill="1" applyBorder="1" applyAlignment="1">
      <alignment horizontal="center" vertical="center" wrapText="1"/>
    </xf>
    <xf numFmtId="9" fontId="73" fillId="90" borderId="39" xfId="0" applyNumberFormat="1" applyFont="1" applyFill="1" applyBorder="1" applyAlignment="1">
      <alignment horizontal="center" vertical="center" wrapText="1"/>
    </xf>
    <xf numFmtId="9" fontId="73" fillId="90" borderId="67" xfId="0" applyNumberFormat="1" applyFont="1" applyFill="1" applyBorder="1" applyAlignment="1">
      <alignment horizontal="center" vertical="center" wrapText="1"/>
    </xf>
    <xf numFmtId="2" fontId="73" fillId="90" borderId="67" xfId="0" applyNumberFormat="1" applyFont="1" applyFill="1" applyBorder="1" applyAlignment="1">
      <alignment horizontal="center" vertical="center" wrapText="1"/>
    </xf>
    <xf numFmtId="9" fontId="73" fillId="90" borderId="64" xfId="436" applyFont="1" applyFill="1" applyBorder="1" applyAlignment="1">
      <alignment horizontal="center" vertical="center" wrapText="1"/>
    </xf>
    <xf numFmtId="9" fontId="73" fillId="90" borderId="68" xfId="0" applyNumberFormat="1" applyFont="1" applyFill="1" applyBorder="1" applyAlignment="1">
      <alignment horizontal="center" vertical="center" wrapText="1"/>
    </xf>
    <xf numFmtId="9" fontId="73" fillId="90" borderId="64" xfId="0" applyNumberFormat="1" applyFont="1" applyFill="1" applyBorder="1" applyAlignment="1">
      <alignment horizontal="center" vertical="center" wrapText="1"/>
    </xf>
    <xf numFmtId="9" fontId="73" fillId="90" borderId="70" xfId="0" applyNumberFormat="1" applyFont="1" applyFill="1" applyBorder="1" applyAlignment="1">
      <alignment horizontal="center" vertical="center" wrapText="1"/>
    </xf>
    <xf numFmtId="9" fontId="73" fillId="90" borderId="62" xfId="0" applyNumberFormat="1" applyFont="1" applyFill="1" applyBorder="1" applyAlignment="1">
      <alignment horizontal="center" vertical="center" wrapText="1"/>
    </xf>
    <xf numFmtId="0" fontId="73" fillId="90" borderId="66" xfId="0" applyFont="1" applyFill="1" applyBorder="1" applyAlignment="1">
      <alignment horizontal="left" vertical="center" wrapText="1"/>
    </xf>
    <xf numFmtId="0" fontId="90" fillId="90" borderId="65" xfId="0" applyFont="1" applyFill="1" applyBorder="1" applyAlignment="1">
      <alignment horizontal="center" vertical="center" wrapText="1"/>
    </xf>
    <xf numFmtId="0" fontId="4" fillId="0" borderId="0" xfId="444" applyFont="1"/>
    <xf numFmtId="174" fontId="0" fillId="0" borderId="0" xfId="0" applyNumberFormat="1"/>
    <xf numFmtId="0" fontId="2" fillId="0" borderId="0" xfId="0" applyFont="1"/>
    <xf numFmtId="0" fontId="0" fillId="2" borderId="0" xfId="0" applyFill="1"/>
    <xf numFmtId="0" fontId="2" fillId="3" borderId="60" xfId="0" applyFont="1" applyFill="1" applyBorder="1" applyAlignment="1">
      <alignment horizontal="left" vertical="center" wrapText="1"/>
    </xf>
    <xf numFmtId="0" fontId="95" fillId="92" borderId="3" xfId="0" applyFont="1" applyFill="1" applyBorder="1" applyAlignment="1">
      <alignment horizontal="left" vertical="center" wrapText="1"/>
    </xf>
    <xf numFmtId="0" fontId="95" fillId="92" borderId="3" xfId="0" applyFont="1" applyFill="1" applyBorder="1" applyAlignment="1">
      <alignment horizontal="right" vertical="center" wrapText="1"/>
    </xf>
    <xf numFmtId="0" fontId="95" fillId="92" borderId="30" xfId="0" applyFont="1" applyFill="1" applyBorder="1" applyAlignment="1">
      <alignment horizontal="right" vertical="center" wrapText="1"/>
    </xf>
    <xf numFmtId="0" fontId="95" fillId="92" borderId="3" xfId="0" applyFont="1" applyFill="1" applyBorder="1" applyAlignment="1">
      <alignment horizontal="center" vertical="center" wrapText="1"/>
    </xf>
    <xf numFmtId="0" fontId="98" fillId="4" borderId="3" xfId="0" applyFont="1" applyFill="1" applyBorder="1" applyAlignment="1">
      <alignment horizontal="center" vertical="center" wrapText="1"/>
    </xf>
    <xf numFmtId="0" fontId="95" fillId="5" borderId="3" xfId="0" applyFont="1" applyFill="1" applyBorder="1" applyAlignment="1">
      <alignment horizontal="left"/>
    </xf>
    <xf numFmtId="0" fontId="95" fillId="5" borderId="3" xfId="0" applyFont="1" applyFill="1" applyBorder="1" applyAlignment="1">
      <alignment horizontal="right"/>
    </xf>
    <xf numFmtId="0" fontId="95" fillId="5" borderId="71" xfId="0" applyFont="1" applyFill="1" applyBorder="1" applyAlignment="1">
      <alignment horizontal="right"/>
    </xf>
    <xf numFmtId="0" fontId="1" fillId="0" borderId="0" xfId="0" applyFont="1"/>
    <xf numFmtId="0" fontId="2" fillId="3" borderId="72" xfId="0" applyFont="1" applyFill="1" applyBorder="1" applyAlignment="1">
      <alignment horizontal="right" vertical="center" wrapText="1"/>
    </xf>
    <xf numFmtId="2" fontId="83" fillId="0" borderId="0" xfId="0" applyNumberFormat="1" applyFont="1"/>
    <xf numFmtId="0" fontId="99" fillId="0" borderId="68" xfId="0" applyFont="1" applyBorder="1" applyAlignment="1">
      <alignment horizontal="center"/>
    </xf>
    <xf numFmtId="0" fontId="29" fillId="3" borderId="1" xfId="0" applyFont="1" applyFill="1" applyBorder="1" applyAlignment="1">
      <alignment horizontal="center" vertical="center" wrapText="1"/>
    </xf>
    <xf numFmtId="0" fontId="29" fillId="3" borderId="0" xfId="0" applyFont="1" applyFill="1" applyBorder="1" applyAlignment="1">
      <alignment horizontal="center" vertical="center" wrapText="1"/>
    </xf>
    <xf numFmtId="0" fontId="0" fillId="0" borderId="0" xfId="0" applyAlignment="1">
      <alignment horizontal="left" wrapText="1"/>
    </xf>
    <xf numFmtId="0" fontId="33" fillId="0" borderId="20" xfId="0" applyFont="1" applyBorder="1" applyAlignment="1">
      <alignment vertical="center" wrapText="1"/>
    </xf>
    <xf numFmtId="0" fontId="33" fillId="0" borderId="18" xfId="0" applyFont="1" applyBorder="1" applyAlignment="1">
      <alignment vertical="center" wrapText="1"/>
    </xf>
    <xf numFmtId="0" fontId="33" fillId="0" borderId="20" xfId="0" applyFont="1" applyFill="1" applyBorder="1" applyAlignment="1">
      <alignment vertical="center" wrapText="1"/>
    </xf>
    <xf numFmtId="0" fontId="33" fillId="0" borderId="18" xfId="0" applyFont="1" applyFill="1" applyBorder="1" applyAlignment="1">
      <alignment vertical="center" wrapText="1"/>
    </xf>
    <xf numFmtId="0" fontId="33" fillId="6" borderId="20" xfId="0" applyFont="1" applyFill="1" applyBorder="1" applyAlignment="1">
      <alignment vertical="center" wrapText="1"/>
    </xf>
    <xf numFmtId="0" fontId="33" fillId="6" borderId="18" xfId="0" applyFont="1" applyFill="1" applyBorder="1" applyAlignment="1">
      <alignment vertical="center" wrapText="1"/>
    </xf>
    <xf numFmtId="0" fontId="75" fillId="80" borderId="55" xfId="0" applyFont="1" applyFill="1" applyBorder="1" applyAlignment="1">
      <alignment vertical="center" wrapText="1"/>
    </xf>
    <xf numFmtId="0" fontId="75" fillId="80" borderId="56" xfId="0" applyFont="1" applyFill="1" applyBorder="1" applyAlignment="1">
      <alignment vertical="center" wrapText="1"/>
    </xf>
    <xf numFmtId="0" fontId="75" fillId="80" borderId="57" xfId="0" applyFont="1" applyFill="1" applyBorder="1" applyAlignment="1">
      <alignment vertical="center" wrapText="1"/>
    </xf>
    <xf numFmtId="0" fontId="75" fillId="80" borderId="49" xfId="0" applyFont="1" applyFill="1" applyBorder="1" applyAlignment="1">
      <alignment vertical="center" wrapText="1"/>
    </xf>
    <xf numFmtId="0" fontId="75" fillId="80" borderId="50" xfId="0" applyFont="1" applyFill="1" applyBorder="1" applyAlignment="1">
      <alignment vertical="center" wrapText="1"/>
    </xf>
    <xf numFmtId="0" fontId="75" fillId="80" borderId="51" xfId="0" applyFont="1" applyFill="1" applyBorder="1" applyAlignment="1">
      <alignment vertical="center" wrapText="1"/>
    </xf>
    <xf numFmtId="0" fontId="77" fillId="81" borderId="55" xfId="0" applyFont="1" applyFill="1" applyBorder="1" applyAlignment="1">
      <alignment horizontal="center" vertical="center" wrapText="1"/>
    </xf>
    <xf numFmtId="0" fontId="77" fillId="81" borderId="56" xfId="0" applyFont="1" applyFill="1" applyBorder="1" applyAlignment="1">
      <alignment horizontal="center" vertical="center" wrapText="1"/>
    </xf>
    <xf numFmtId="0" fontId="77" fillId="81" borderId="53" xfId="0" applyFont="1" applyFill="1" applyBorder="1" applyAlignment="1">
      <alignment horizontal="center" vertical="center" wrapText="1"/>
    </xf>
    <xf numFmtId="0" fontId="75" fillId="74" borderId="49" xfId="0" applyFont="1" applyFill="1" applyBorder="1" applyAlignment="1">
      <alignment vertical="center" wrapText="1"/>
    </xf>
    <xf numFmtId="0" fontId="75" fillId="74" borderId="50" xfId="0" applyFont="1" applyFill="1" applyBorder="1" applyAlignment="1">
      <alignment vertical="center" wrapText="1"/>
    </xf>
    <xf numFmtId="0" fontId="75" fillId="74" borderId="51" xfId="0" applyFont="1" applyFill="1" applyBorder="1" applyAlignment="1">
      <alignment vertical="center" wrapText="1"/>
    </xf>
    <xf numFmtId="0" fontId="75" fillId="74" borderId="55" xfId="0" applyFont="1" applyFill="1" applyBorder="1" applyAlignment="1">
      <alignment vertical="center" wrapText="1"/>
    </xf>
    <xf numFmtId="0" fontId="75" fillId="74" borderId="56" xfId="0" applyFont="1" applyFill="1" applyBorder="1" applyAlignment="1">
      <alignment vertical="center" wrapText="1"/>
    </xf>
    <xf numFmtId="0" fontId="75" fillId="74" borderId="57" xfId="0" applyFont="1" applyFill="1" applyBorder="1" applyAlignment="1">
      <alignment vertical="center" wrapText="1"/>
    </xf>
    <xf numFmtId="0" fontId="77" fillId="77" borderId="55" xfId="0" applyFont="1" applyFill="1" applyBorder="1" applyAlignment="1">
      <alignment horizontal="center" vertical="center" wrapText="1"/>
    </xf>
    <xf numFmtId="0" fontId="77" fillId="77" borderId="56" xfId="0" applyFont="1" applyFill="1" applyBorder="1" applyAlignment="1">
      <alignment horizontal="center" vertical="center" wrapText="1"/>
    </xf>
    <xf numFmtId="0" fontId="77" fillId="77" borderId="53" xfId="0" applyFont="1" applyFill="1" applyBorder="1" applyAlignment="1">
      <alignment horizontal="center" vertical="center" wrapText="1"/>
    </xf>
    <xf numFmtId="0" fontId="88" fillId="90" borderId="66" xfId="7722" applyFont="1" applyFill="1" applyBorder="1" applyAlignment="1">
      <alignment horizontal="center" vertical="center" wrapText="1"/>
    </xf>
    <xf numFmtId="0" fontId="87" fillId="90" borderId="1" xfId="0" applyFont="1" applyFill="1" applyBorder="1" applyAlignment="1">
      <alignment horizontal="center" vertical="center" wrapText="1"/>
    </xf>
    <xf numFmtId="0" fontId="87" fillId="90" borderId="65" xfId="0" applyFont="1" applyFill="1" applyBorder="1" applyAlignment="1">
      <alignment horizontal="center" vertical="center" wrapText="1"/>
    </xf>
    <xf numFmtId="0" fontId="87" fillId="90" borderId="67" xfId="0" applyFont="1" applyFill="1" applyBorder="1" applyAlignment="1">
      <alignment horizontal="center" vertical="center" wrapText="1"/>
    </xf>
    <xf numFmtId="0" fontId="89" fillId="90" borderId="59" xfId="0" applyFont="1" applyFill="1" applyBorder="1" applyAlignment="1">
      <alignment horizontal="center" vertical="center" wrapText="1"/>
    </xf>
    <xf numFmtId="0" fontId="89" fillId="90" borderId="60" xfId="0" applyFont="1" applyFill="1" applyBorder="1" applyAlignment="1">
      <alignment horizontal="center" vertical="center" wrapText="1"/>
    </xf>
    <xf numFmtId="0" fontId="89" fillId="90" borderId="66" xfId="0" applyFont="1" applyFill="1" applyBorder="1" applyAlignment="1">
      <alignment horizontal="center" vertical="center" wrapText="1"/>
    </xf>
    <xf numFmtId="0" fontId="89" fillId="90" borderId="67" xfId="0" applyFont="1" applyFill="1" applyBorder="1" applyAlignment="1">
      <alignment horizontal="center" vertical="center" wrapText="1"/>
    </xf>
  </cellXfs>
  <cellStyles count="7723">
    <cellStyle name="_x000a_shell=progma 2" xfId="657" xr:uid="{00000000-0005-0000-0000-000000000000}"/>
    <cellStyle name="_x000a_shell=progma 2 2" xfId="2079" xr:uid="{00000000-0005-0000-0000-000001000000}"/>
    <cellStyle name="1.000" xfId="658" xr:uid="{00000000-0005-0000-0000-000002000000}"/>
    <cellStyle name="1.000 2" xfId="2080" xr:uid="{00000000-0005-0000-0000-000003000000}"/>
    <cellStyle name="20 % - Markeringsfarve1" xfId="3270" xr:uid="{00000000-0005-0000-0000-000004000000}"/>
    <cellStyle name="20 % - Markeringsfarve1 2" xfId="3271" xr:uid="{00000000-0005-0000-0000-000005000000}"/>
    <cellStyle name="20 % - Markeringsfarve1 2 2" xfId="5489" xr:uid="{00000000-0005-0000-0000-000006000000}"/>
    <cellStyle name="20 % - Markeringsfarve1 2 3" xfId="6443" xr:uid="{00000000-0005-0000-0000-000007000000}"/>
    <cellStyle name="20 % - Markeringsfarve1 2 4" xfId="7357" xr:uid="{00000000-0005-0000-0000-000008000000}"/>
    <cellStyle name="20 % - Markeringsfarve1 3" xfId="5488" xr:uid="{00000000-0005-0000-0000-000009000000}"/>
    <cellStyle name="20 % - Markeringsfarve1 4" xfId="6442" xr:uid="{00000000-0005-0000-0000-00000A000000}"/>
    <cellStyle name="20 % - Markeringsfarve1 5" xfId="7356" xr:uid="{00000000-0005-0000-0000-00000B000000}"/>
    <cellStyle name="20 % - Markeringsfarve2" xfId="3272" xr:uid="{00000000-0005-0000-0000-00000C000000}"/>
    <cellStyle name="20 % - Markeringsfarve2 2" xfId="3273" xr:uid="{00000000-0005-0000-0000-00000D000000}"/>
    <cellStyle name="20 % - Markeringsfarve2 2 2" xfId="5491" xr:uid="{00000000-0005-0000-0000-00000E000000}"/>
    <cellStyle name="20 % - Markeringsfarve2 2 3" xfId="6445" xr:uid="{00000000-0005-0000-0000-00000F000000}"/>
    <cellStyle name="20 % - Markeringsfarve2 2 4" xfId="7359" xr:uid="{00000000-0005-0000-0000-000010000000}"/>
    <cellStyle name="20 % - Markeringsfarve2 3" xfId="5490" xr:uid="{00000000-0005-0000-0000-000011000000}"/>
    <cellStyle name="20 % - Markeringsfarve2 4" xfId="6444" xr:uid="{00000000-0005-0000-0000-000012000000}"/>
    <cellStyle name="20 % - Markeringsfarve2 5" xfId="7358" xr:uid="{00000000-0005-0000-0000-000013000000}"/>
    <cellStyle name="20 % - Markeringsfarve3" xfId="3274" xr:uid="{00000000-0005-0000-0000-000014000000}"/>
    <cellStyle name="20 % - Markeringsfarve3 2" xfId="3275" xr:uid="{00000000-0005-0000-0000-000015000000}"/>
    <cellStyle name="20 % - Markeringsfarve3 2 2" xfId="5493" xr:uid="{00000000-0005-0000-0000-000016000000}"/>
    <cellStyle name="20 % - Markeringsfarve3 2 3" xfId="6447" xr:uid="{00000000-0005-0000-0000-000017000000}"/>
    <cellStyle name="20 % - Markeringsfarve3 2 4" xfId="7361" xr:uid="{00000000-0005-0000-0000-000018000000}"/>
    <cellStyle name="20 % - Markeringsfarve3 3" xfId="5492" xr:uid="{00000000-0005-0000-0000-000019000000}"/>
    <cellStyle name="20 % - Markeringsfarve3 4" xfId="6446" xr:uid="{00000000-0005-0000-0000-00001A000000}"/>
    <cellStyle name="20 % - Markeringsfarve3 5" xfId="7360" xr:uid="{00000000-0005-0000-0000-00001B000000}"/>
    <cellStyle name="20 % - Markeringsfarve4" xfId="3276" xr:uid="{00000000-0005-0000-0000-00001C000000}"/>
    <cellStyle name="20 % - Markeringsfarve4 2" xfId="3277" xr:uid="{00000000-0005-0000-0000-00001D000000}"/>
    <cellStyle name="20 % - Markeringsfarve4 2 2" xfId="5495" xr:uid="{00000000-0005-0000-0000-00001E000000}"/>
    <cellStyle name="20 % - Markeringsfarve4 2 3" xfId="6449" xr:uid="{00000000-0005-0000-0000-00001F000000}"/>
    <cellStyle name="20 % - Markeringsfarve4 2 4" xfId="7363" xr:uid="{00000000-0005-0000-0000-000020000000}"/>
    <cellStyle name="20 % - Markeringsfarve4 3" xfId="5494" xr:uid="{00000000-0005-0000-0000-000021000000}"/>
    <cellStyle name="20 % - Markeringsfarve4 4" xfId="6448" xr:uid="{00000000-0005-0000-0000-000022000000}"/>
    <cellStyle name="20 % - Markeringsfarve4 5" xfId="7362" xr:uid="{00000000-0005-0000-0000-000023000000}"/>
    <cellStyle name="20 % - Markeringsfarve5" xfId="3278" xr:uid="{00000000-0005-0000-0000-000024000000}"/>
    <cellStyle name="20 % - Markeringsfarve5 2" xfId="3279" xr:uid="{00000000-0005-0000-0000-000025000000}"/>
    <cellStyle name="20 % - Markeringsfarve5 2 2" xfId="5497" xr:uid="{00000000-0005-0000-0000-000026000000}"/>
    <cellStyle name="20 % - Markeringsfarve5 2 3" xfId="6451" xr:uid="{00000000-0005-0000-0000-000027000000}"/>
    <cellStyle name="20 % - Markeringsfarve5 2 4" xfId="7365" xr:uid="{00000000-0005-0000-0000-000028000000}"/>
    <cellStyle name="20 % - Markeringsfarve5 3" xfId="5496" xr:uid="{00000000-0005-0000-0000-000029000000}"/>
    <cellStyle name="20 % - Markeringsfarve5 4" xfId="6450" xr:uid="{00000000-0005-0000-0000-00002A000000}"/>
    <cellStyle name="20 % - Markeringsfarve5 5" xfId="7364" xr:uid="{00000000-0005-0000-0000-00002B000000}"/>
    <cellStyle name="20 % - Markeringsfarve6" xfId="3280" xr:uid="{00000000-0005-0000-0000-00002C000000}"/>
    <cellStyle name="20 % - Markeringsfarve6 2" xfId="3281" xr:uid="{00000000-0005-0000-0000-00002D000000}"/>
    <cellStyle name="20 % - Markeringsfarve6 2 2" xfId="5499" xr:uid="{00000000-0005-0000-0000-00002E000000}"/>
    <cellStyle name="20 % - Markeringsfarve6 2 3" xfId="6453" xr:uid="{00000000-0005-0000-0000-00002F000000}"/>
    <cellStyle name="20 % - Markeringsfarve6 2 4" xfId="7367" xr:uid="{00000000-0005-0000-0000-000030000000}"/>
    <cellStyle name="20 % - Markeringsfarve6 3" xfId="5498" xr:uid="{00000000-0005-0000-0000-000031000000}"/>
    <cellStyle name="20 % - Markeringsfarve6 4" xfId="6452" xr:uid="{00000000-0005-0000-0000-000032000000}"/>
    <cellStyle name="20 % - Markeringsfarve6 5" xfId="7366" xr:uid="{00000000-0005-0000-0000-000033000000}"/>
    <cellStyle name="20% - Colore 1" xfId="18" xr:uid="{00000000-0005-0000-0000-000034000000}"/>
    <cellStyle name="20% - Colore 1 2" xfId="3282" xr:uid="{00000000-0005-0000-0000-000035000000}"/>
    <cellStyle name="20% - Colore 2" xfId="17" xr:uid="{00000000-0005-0000-0000-000036000000}"/>
    <cellStyle name="20% - Colore 2 2" xfId="3283" xr:uid="{00000000-0005-0000-0000-000037000000}"/>
    <cellStyle name="20% - Colore 3" xfId="16" xr:uid="{00000000-0005-0000-0000-000038000000}"/>
    <cellStyle name="20% - Colore 3 2" xfId="3284" xr:uid="{00000000-0005-0000-0000-000039000000}"/>
    <cellStyle name="20% - Colore 4" xfId="12" xr:uid="{00000000-0005-0000-0000-00003A000000}"/>
    <cellStyle name="20% - Colore 4 2" xfId="3285" xr:uid="{00000000-0005-0000-0000-00003B000000}"/>
    <cellStyle name="20% - Colore 5" xfId="15" xr:uid="{00000000-0005-0000-0000-00003C000000}"/>
    <cellStyle name="20% - Colore 5 2" xfId="3286" xr:uid="{00000000-0005-0000-0000-00003D000000}"/>
    <cellStyle name="20% - Colore 6" xfId="14" xr:uid="{00000000-0005-0000-0000-00003E000000}"/>
    <cellStyle name="20% - Colore 6 2" xfId="3287" xr:uid="{00000000-0005-0000-0000-00003F000000}"/>
    <cellStyle name="40 % - Markeringsfarve1" xfId="3288" xr:uid="{00000000-0005-0000-0000-000040000000}"/>
    <cellStyle name="40 % - Markeringsfarve1 2" xfId="3289" xr:uid="{00000000-0005-0000-0000-000041000000}"/>
    <cellStyle name="40 % - Markeringsfarve1 2 2" xfId="5501" xr:uid="{00000000-0005-0000-0000-000042000000}"/>
    <cellStyle name="40 % - Markeringsfarve1 2 3" xfId="6455" xr:uid="{00000000-0005-0000-0000-000043000000}"/>
    <cellStyle name="40 % - Markeringsfarve1 2 4" xfId="7369" xr:uid="{00000000-0005-0000-0000-000044000000}"/>
    <cellStyle name="40 % - Markeringsfarve1 3" xfId="5500" xr:uid="{00000000-0005-0000-0000-000045000000}"/>
    <cellStyle name="40 % - Markeringsfarve1 4" xfId="6454" xr:uid="{00000000-0005-0000-0000-000046000000}"/>
    <cellStyle name="40 % - Markeringsfarve1 5" xfId="7368" xr:uid="{00000000-0005-0000-0000-000047000000}"/>
    <cellStyle name="40 % - Markeringsfarve2" xfId="3290" xr:uid="{00000000-0005-0000-0000-000048000000}"/>
    <cellStyle name="40 % - Markeringsfarve2 2" xfId="3291" xr:uid="{00000000-0005-0000-0000-000049000000}"/>
    <cellStyle name="40 % - Markeringsfarve2 2 2" xfId="5503" xr:uid="{00000000-0005-0000-0000-00004A000000}"/>
    <cellStyle name="40 % - Markeringsfarve2 2 3" xfId="6457" xr:uid="{00000000-0005-0000-0000-00004B000000}"/>
    <cellStyle name="40 % - Markeringsfarve2 2 4" xfId="7371" xr:uid="{00000000-0005-0000-0000-00004C000000}"/>
    <cellStyle name="40 % - Markeringsfarve2 3" xfId="5502" xr:uid="{00000000-0005-0000-0000-00004D000000}"/>
    <cellStyle name="40 % - Markeringsfarve2 4" xfId="6456" xr:uid="{00000000-0005-0000-0000-00004E000000}"/>
    <cellStyle name="40 % - Markeringsfarve2 5" xfId="7370" xr:uid="{00000000-0005-0000-0000-00004F000000}"/>
    <cellStyle name="40 % - Markeringsfarve3" xfId="3292" xr:uid="{00000000-0005-0000-0000-000050000000}"/>
    <cellStyle name="40 % - Markeringsfarve3 2" xfId="3293" xr:uid="{00000000-0005-0000-0000-000051000000}"/>
    <cellStyle name="40 % - Markeringsfarve3 2 2" xfId="5505" xr:uid="{00000000-0005-0000-0000-000052000000}"/>
    <cellStyle name="40 % - Markeringsfarve3 2 3" xfId="6459" xr:uid="{00000000-0005-0000-0000-000053000000}"/>
    <cellStyle name="40 % - Markeringsfarve3 2 4" xfId="7373" xr:uid="{00000000-0005-0000-0000-000054000000}"/>
    <cellStyle name="40 % - Markeringsfarve3 3" xfId="5504" xr:uid="{00000000-0005-0000-0000-000055000000}"/>
    <cellStyle name="40 % - Markeringsfarve3 4" xfId="6458" xr:uid="{00000000-0005-0000-0000-000056000000}"/>
    <cellStyle name="40 % - Markeringsfarve3 5" xfId="7372" xr:uid="{00000000-0005-0000-0000-000057000000}"/>
    <cellStyle name="40 % - Markeringsfarve4" xfId="3294" xr:uid="{00000000-0005-0000-0000-000058000000}"/>
    <cellStyle name="40 % - Markeringsfarve4 2" xfId="3295" xr:uid="{00000000-0005-0000-0000-000059000000}"/>
    <cellStyle name="40 % - Markeringsfarve4 2 2" xfId="5507" xr:uid="{00000000-0005-0000-0000-00005A000000}"/>
    <cellStyle name="40 % - Markeringsfarve4 2 3" xfId="6461" xr:uid="{00000000-0005-0000-0000-00005B000000}"/>
    <cellStyle name="40 % - Markeringsfarve4 2 4" xfId="7375" xr:uid="{00000000-0005-0000-0000-00005C000000}"/>
    <cellStyle name="40 % - Markeringsfarve4 3" xfId="5506" xr:uid="{00000000-0005-0000-0000-00005D000000}"/>
    <cellStyle name="40 % - Markeringsfarve4 4" xfId="6460" xr:uid="{00000000-0005-0000-0000-00005E000000}"/>
    <cellStyle name="40 % - Markeringsfarve4 5" xfId="7374" xr:uid="{00000000-0005-0000-0000-00005F000000}"/>
    <cellStyle name="40 % - Markeringsfarve5" xfId="3296" xr:uid="{00000000-0005-0000-0000-000060000000}"/>
    <cellStyle name="40 % - Markeringsfarve5 2" xfId="3297" xr:uid="{00000000-0005-0000-0000-000061000000}"/>
    <cellStyle name="40 % - Markeringsfarve5 2 2" xfId="5509" xr:uid="{00000000-0005-0000-0000-000062000000}"/>
    <cellStyle name="40 % - Markeringsfarve5 2 3" xfId="6463" xr:uid="{00000000-0005-0000-0000-000063000000}"/>
    <cellStyle name="40 % - Markeringsfarve5 2 4" xfId="7377" xr:uid="{00000000-0005-0000-0000-000064000000}"/>
    <cellStyle name="40 % - Markeringsfarve5 3" xfId="5508" xr:uid="{00000000-0005-0000-0000-000065000000}"/>
    <cellStyle name="40 % - Markeringsfarve5 4" xfId="6462" xr:uid="{00000000-0005-0000-0000-000066000000}"/>
    <cellStyle name="40 % - Markeringsfarve5 5" xfId="7376" xr:uid="{00000000-0005-0000-0000-000067000000}"/>
    <cellStyle name="40 % - Markeringsfarve6" xfId="3298" xr:uid="{00000000-0005-0000-0000-000068000000}"/>
    <cellStyle name="40 % - Markeringsfarve6 2" xfId="3299" xr:uid="{00000000-0005-0000-0000-000069000000}"/>
    <cellStyle name="40 % - Markeringsfarve6 2 2" xfId="5511" xr:uid="{00000000-0005-0000-0000-00006A000000}"/>
    <cellStyle name="40 % - Markeringsfarve6 2 3" xfId="6465" xr:uid="{00000000-0005-0000-0000-00006B000000}"/>
    <cellStyle name="40 % - Markeringsfarve6 2 4" xfId="7379" xr:uid="{00000000-0005-0000-0000-00006C000000}"/>
    <cellStyle name="40 % - Markeringsfarve6 3" xfId="5510" xr:uid="{00000000-0005-0000-0000-00006D000000}"/>
    <cellStyle name="40 % - Markeringsfarve6 4" xfId="6464" xr:uid="{00000000-0005-0000-0000-00006E000000}"/>
    <cellStyle name="40 % - Markeringsfarve6 5" xfId="7378" xr:uid="{00000000-0005-0000-0000-00006F000000}"/>
    <cellStyle name="40% - Colore 1" xfId="13" xr:uid="{00000000-0005-0000-0000-000070000000}"/>
    <cellStyle name="40% - Colore 1 2" xfId="3300" xr:uid="{00000000-0005-0000-0000-000071000000}"/>
    <cellStyle name="40% - Colore 2" xfId="20" xr:uid="{00000000-0005-0000-0000-000072000000}"/>
    <cellStyle name="40% - Colore 2 2" xfId="3301" xr:uid="{00000000-0005-0000-0000-000073000000}"/>
    <cellStyle name="40% - Colore 3" xfId="21" xr:uid="{00000000-0005-0000-0000-000074000000}"/>
    <cellStyle name="40% - Colore 3 2" xfId="3302" xr:uid="{00000000-0005-0000-0000-000075000000}"/>
    <cellStyle name="40% - Colore 4" xfId="22" xr:uid="{00000000-0005-0000-0000-000076000000}"/>
    <cellStyle name="40% - Colore 4 2" xfId="3303" xr:uid="{00000000-0005-0000-0000-000077000000}"/>
    <cellStyle name="40% - Colore 5" xfId="23" xr:uid="{00000000-0005-0000-0000-000078000000}"/>
    <cellStyle name="40% - Colore 5 2" xfId="3304" xr:uid="{00000000-0005-0000-0000-000079000000}"/>
    <cellStyle name="40% - Colore 6" xfId="24" xr:uid="{00000000-0005-0000-0000-00007A000000}"/>
    <cellStyle name="40% - Colore 6 2" xfId="3305" xr:uid="{00000000-0005-0000-0000-00007B000000}"/>
    <cellStyle name="5x indented GHG Textfiels" xfId="659" xr:uid="{00000000-0005-0000-0000-00007C000000}"/>
    <cellStyle name="5x indented GHG Textfiels 2" xfId="2081" xr:uid="{00000000-0005-0000-0000-00007D000000}"/>
    <cellStyle name="60 % - Markeringsfarve1" xfId="3306" xr:uid="{00000000-0005-0000-0000-00007E000000}"/>
    <cellStyle name="60 % - Markeringsfarve2" xfId="3307" xr:uid="{00000000-0005-0000-0000-00007F000000}"/>
    <cellStyle name="60 % - Markeringsfarve3" xfId="3308" xr:uid="{00000000-0005-0000-0000-000080000000}"/>
    <cellStyle name="60 % - Markeringsfarve4" xfId="3309" xr:uid="{00000000-0005-0000-0000-000081000000}"/>
    <cellStyle name="60 % - Markeringsfarve5" xfId="3310" xr:uid="{00000000-0005-0000-0000-000082000000}"/>
    <cellStyle name="60 % - Markeringsfarve6" xfId="3311" xr:uid="{00000000-0005-0000-0000-000083000000}"/>
    <cellStyle name="60% - Colore 1" xfId="25" xr:uid="{00000000-0005-0000-0000-000084000000}"/>
    <cellStyle name="60% - Colore 2" xfId="26" xr:uid="{00000000-0005-0000-0000-000085000000}"/>
    <cellStyle name="60% - Colore 3" xfId="27" xr:uid="{00000000-0005-0000-0000-000086000000}"/>
    <cellStyle name="60% - Colore 4" xfId="28" xr:uid="{00000000-0005-0000-0000-000087000000}"/>
    <cellStyle name="60% - Colore 5" xfId="29" xr:uid="{00000000-0005-0000-0000-000088000000}"/>
    <cellStyle name="60% - Colore 6" xfId="30" xr:uid="{00000000-0005-0000-0000-000089000000}"/>
    <cellStyle name="AggOrange_CRFReport-template" xfId="660" xr:uid="{00000000-0005-0000-0000-00008A000000}"/>
    <cellStyle name="AggOrange9_CRFReport-template" xfId="661" xr:uid="{00000000-0005-0000-0000-00008B000000}"/>
    <cellStyle name="Bad 2" xfId="5" xr:uid="{00000000-0005-0000-0000-00008C000000}"/>
    <cellStyle name="Bad 3" xfId="2014" xr:uid="{00000000-0005-0000-0000-00008D000000}"/>
    <cellStyle name="Bad 4" xfId="3312" xr:uid="{00000000-0005-0000-0000-00008E000000}"/>
    <cellStyle name="Bruger data" xfId="662" xr:uid="{00000000-0005-0000-0000-00008F000000}"/>
    <cellStyle name="Calcolo" xfId="31" xr:uid="{00000000-0005-0000-0000-000090000000}"/>
    <cellStyle name="Calcolo 2" xfId="3313" xr:uid="{00000000-0005-0000-0000-000091000000}"/>
    <cellStyle name="Calcolo 2 2" xfId="3314" xr:uid="{00000000-0005-0000-0000-000092000000}"/>
    <cellStyle name="Calcolo 2 2 2" xfId="7507" xr:uid="{00000000-0005-0000-0000-000093000000}"/>
    <cellStyle name="Calcolo 2 2 3" xfId="7579" xr:uid="{00000000-0005-0000-0000-000094000000}"/>
    <cellStyle name="Calcolo 2 2 4" xfId="7635" xr:uid="{00000000-0005-0000-0000-000095000000}"/>
    <cellStyle name="Calcolo 2 3" xfId="7506" xr:uid="{00000000-0005-0000-0000-000096000000}"/>
    <cellStyle name="Calcolo 2 4" xfId="7578" xr:uid="{00000000-0005-0000-0000-000097000000}"/>
    <cellStyle name="Calcolo 2 5" xfId="7634" xr:uid="{00000000-0005-0000-0000-000098000000}"/>
    <cellStyle name="Calcolo 3" xfId="3315" xr:uid="{00000000-0005-0000-0000-000099000000}"/>
    <cellStyle name="Calcolo 3 2" xfId="7508" xr:uid="{00000000-0005-0000-0000-00009A000000}"/>
    <cellStyle name="Calcolo 3 3" xfId="7580" xr:uid="{00000000-0005-0000-0000-00009B000000}"/>
    <cellStyle name="Calcolo 3 4" xfId="7636" xr:uid="{00000000-0005-0000-0000-00009C000000}"/>
    <cellStyle name="Calcolo 4" xfId="7489" xr:uid="{00000000-0005-0000-0000-00009D000000}"/>
    <cellStyle name="Calcolo 5" xfId="7561" xr:uid="{00000000-0005-0000-0000-00009E000000}"/>
    <cellStyle name="Calcolo 6" xfId="7633" xr:uid="{00000000-0005-0000-0000-00009F000000}"/>
    <cellStyle name="Calculation 2" xfId="2015" xr:uid="{00000000-0005-0000-0000-0000A0000000}"/>
    <cellStyle name="Calculations" xfId="663" xr:uid="{00000000-0005-0000-0000-0000A1000000}"/>
    <cellStyle name="Cella collegata" xfId="32" xr:uid="{00000000-0005-0000-0000-0000A2000000}"/>
    <cellStyle name="Cella da controllare" xfId="33" xr:uid="{00000000-0005-0000-0000-0000A3000000}"/>
    <cellStyle name="Colore 1" xfId="34" xr:uid="{00000000-0005-0000-0000-0000A4000000}"/>
    <cellStyle name="Colore 2" xfId="35" xr:uid="{00000000-0005-0000-0000-0000A5000000}"/>
    <cellStyle name="Colore 3" xfId="36" xr:uid="{00000000-0005-0000-0000-0000A6000000}"/>
    <cellStyle name="Colore 4" xfId="37" xr:uid="{00000000-0005-0000-0000-0000A7000000}"/>
    <cellStyle name="Colore 5" xfId="38" xr:uid="{00000000-0005-0000-0000-0000A8000000}"/>
    <cellStyle name="Colore 6" xfId="39" xr:uid="{00000000-0005-0000-0000-0000A9000000}"/>
    <cellStyle name="Comma 2" xfId="438" xr:uid="{00000000-0005-0000-0000-0000AA000000}"/>
    <cellStyle name="Comma 2 2" xfId="665" xr:uid="{00000000-0005-0000-0000-0000AB000000}"/>
    <cellStyle name="Comma 2 2 2" xfId="666" xr:uid="{00000000-0005-0000-0000-0000AC000000}"/>
    <cellStyle name="Comma 2 2 2 2" xfId="2082" xr:uid="{00000000-0005-0000-0000-0000AD000000}"/>
    <cellStyle name="Comma 2 2 2 2 2" xfId="6388" xr:uid="{00000000-0005-0000-0000-0000AE000000}"/>
    <cellStyle name="Comma 2 2 2 3" xfId="6387" xr:uid="{00000000-0005-0000-0000-0000AF000000}"/>
    <cellStyle name="Comma 2 2 3" xfId="3316" xr:uid="{00000000-0005-0000-0000-0000B0000000}"/>
    <cellStyle name="Comma 2 2 3 2" xfId="6389" xr:uid="{00000000-0005-0000-0000-0000B1000000}"/>
    <cellStyle name="Comma 2 2 4" xfId="5513" xr:uid="{00000000-0005-0000-0000-0000B2000000}"/>
    <cellStyle name="Comma 2 3" xfId="667" xr:uid="{00000000-0005-0000-0000-0000B3000000}"/>
    <cellStyle name="Comma 2 3 2" xfId="668" xr:uid="{00000000-0005-0000-0000-0000B4000000}"/>
    <cellStyle name="Comma 2 3 2 2" xfId="3317" xr:uid="{00000000-0005-0000-0000-0000B5000000}"/>
    <cellStyle name="Comma 2 3 2 2 2" xfId="5516" xr:uid="{00000000-0005-0000-0000-0000B6000000}"/>
    <cellStyle name="Comma 2 3 2 2 3" xfId="6467" xr:uid="{00000000-0005-0000-0000-0000B7000000}"/>
    <cellStyle name="Comma 2 3 2 2 4" xfId="4494" xr:uid="{00000000-0005-0000-0000-0000B8000000}"/>
    <cellStyle name="Comma 2 3 2 3" xfId="3318" xr:uid="{00000000-0005-0000-0000-0000B9000000}"/>
    <cellStyle name="Comma 2 3 2 3 2" xfId="6390" xr:uid="{00000000-0005-0000-0000-0000BA000000}"/>
    <cellStyle name="Comma 2 3 2 4" xfId="5515" xr:uid="{00000000-0005-0000-0000-0000BB000000}"/>
    <cellStyle name="Comma 2 3 2 5" xfId="6466" xr:uid="{00000000-0005-0000-0000-0000BC000000}"/>
    <cellStyle name="Comma 2 3 2 6" xfId="4493" xr:uid="{00000000-0005-0000-0000-0000BD000000}"/>
    <cellStyle name="Comma 2 3 3" xfId="669" xr:uid="{00000000-0005-0000-0000-0000BE000000}"/>
    <cellStyle name="Comma 2 3 3 2" xfId="2084" xr:uid="{00000000-0005-0000-0000-0000BF000000}"/>
    <cellStyle name="Comma 2 3 3 2 2" xfId="6392" xr:uid="{00000000-0005-0000-0000-0000C0000000}"/>
    <cellStyle name="Comma 2 3 3 3" xfId="6391" xr:uid="{00000000-0005-0000-0000-0000C1000000}"/>
    <cellStyle name="Comma 2 3 4" xfId="2083" xr:uid="{00000000-0005-0000-0000-0000C2000000}"/>
    <cellStyle name="Comma 2 3 4 2" xfId="6393" xr:uid="{00000000-0005-0000-0000-0000C3000000}"/>
    <cellStyle name="Comma 2 3 5" xfId="3319" xr:uid="{00000000-0005-0000-0000-0000C4000000}"/>
    <cellStyle name="Comma 2 3 5 2" xfId="6394" xr:uid="{00000000-0005-0000-0000-0000C5000000}"/>
    <cellStyle name="Comma 2 3 6" xfId="5514" xr:uid="{00000000-0005-0000-0000-0000C6000000}"/>
    <cellStyle name="Comma 2 4" xfId="670" xr:uid="{00000000-0005-0000-0000-0000C7000000}"/>
    <cellStyle name="Comma 2 4 2" xfId="3320" xr:uid="{00000000-0005-0000-0000-0000C8000000}"/>
    <cellStyle name="Comma 2 4 2 2" xfId="6395" xr:uid="{00000000-0005-0000-0000-0000C9000000}"/>
    <cellStyle name="Comma 2 4 3" xfId="5517" xr:uid="{00000000-0005-0000-0000-0000CA000000}"/>
    <cellStyle name="Comma 2 5" xfId="671" xr:uid="{00000000-0005-0000-0000-0000CB000000}"/>
    <cellStyle name="Comma 2 5 2" xfId="6396" xr:uid="{00000000-0005-0000-0000-0000CC000000}"/>
    <cellStyle name="Comma 2 6" xfId="672" xr:uid="{00000000-0005-0000-0000-0000CD000000}"/>
    <cellStyle name="Comma 2 6 2" xfId="673" xr:uid="{00000000-0005-0000-0000-0000CE000000}"/>
    <cellStyle name="Comma 2 7" xfId="664" xr:uid="{00000000-0005-0000-0000-0000CF000000}"/>
    <cellStyle name="Comma 2 7 2" xfId="6397" xr:uid="{00000000-0005-0000-0000-0000D0000000}"/>
    <cellStyle name="Comma 2 8" xfId="3321" xr:uid="{00000000-0005-0000-0000-0000D1000000}"/>
    <cellStyle name="Comma 2 8 2" xfId="6398" xr:uid="{00000000-0005-0000-0000-0000D2000000}"/>
    <cellStyle name="Comma 2 8 3" xfId="7333" xr:uid="{00000000-0005-0000-0000-0000D3000000}"/>
    <cellStyle name="Comma 2 8 4" xfId="7466" xr:uid="{00000000-0005-0000-0000-0000D4000000}"/>
    <cellStyle name="Comma 2 9" xfId="5512" xr:uid="{00000000-0005-0000-0000-0000D5000000}"/>
    <cellStyle name="Comma 3" xfId="439" xr:uid="{00000000-0005-0000-0000-0000D6000000}"/>
    <cellStyle name="Comma 3 2" xfId="675" xr:uid="{00000000-0005-0000-0000-0000D7000000}"/>
    <cellStyle name="Comma 3 2 2" xfId="676" xr:uid="{00000000-0005-0000-0000-0000D8000000}"/>
    <cellStyle name="Comma 3 2 2 2" xfId="6400" xr:uid="{00000000-0005-0000-0000-0000D9000000}"/>
    <cellStyle name="Comma 3 2 3" xfId="6399" xr:uid="{00000000-0005-0000-0000-0000DA000000}"/>
    <cellStyle name="Comma 3 3" xfId="677" xr:uid="{00000000-0005-0000-0000-0000DB000000}"/>
    <cellStyle name="Comma 3 3 2" xfId="2086" xr:uid="{00000000-0005-0000-0000-0000DC000000}"/>
    <cellStyle name="Comma 3 3 2 2" xfId="6402" xr:uid="{00000000-0005-0000-0000-0000DD000000}"/>
    <cellStyle name="Comma 3 3 2 3" xfId="7346" xr:uid="{00000000-0005-0000-0000-0000DE000000}"/>
    <cellStyle name="Comma 3 3 2 4" xfId="7479" xr:uid="{00000000-0005-0000-0000-0000DF000000}"/>
    <cellStyle name="Comma 3 3 3" xfId="6401" xr:uid="{00000000-0005-0000-0000-0000E0000000}"/>
    <cellStyle name="Comma 3 3 4" xfId="7336" xr:uid="{00000000-0005-0000-0000-0000E1000000}"/>
    <cellStyle name="Comma 3 3 5" xfId="7469" xr:uid="{00000000-0005-0000-0000-0000E2000000}"/>
    <cellStyle name="Comma 3 4" xfId="2085" xr:uid="{00000000-0005-0000-0000-0000E3000000}"/>
    <cellStyle name="Comma 3 4 2" xfId="6403" xr:uid="{00000000-0005-0000-0000-0000E4000000}"/>
    <cellStyle name="Comma 3 5" xfId="674" xr:uid="{00000000-0005-0000-0000-0000E5000000}"/>
    <cellStyle name="Comma 3 5 2" xfId="6404" xr:uid="{00000000-0005-0000-0000-0000E6000000}"/>
    <cellStyle name="Comma 3 6" xfId="3322" xr:uid="{00000000-0005-0000-0000-0000E7000000}"/>
    <cellStyle name="Comma 3 6 2" xfId="6405" xr:uid="{00000000-0005-0000-0000-0000E8000000}"/>
    <cellStyle name="Comma 3 6 3" xfId="7334" xr:uid="{00000000-0005-0000-0000-0000E9000000}"/>
    <cellStyle name="Comma 3 6 4" xfId="7467" xr:uid="{00000000-0005-0000-0000-0000EA000000}"/>
    <cellStyle name="Comma 3 7" xfId="5518" xr:uid="{00000000-0005-0000-0000-0000EB000000}"/>
    <cellStyle name="Comma 4" xfId="678" xr:uid="{00000000-0005-0000-0000-0000EC000000}"/>
    <cellStyle name="Comma 4 2" xfId="679" xr:uid="{00000000-0005-0000-0000-0000ED000000}"/>
    <cellStyle name="Comma 4 2 2" xfId="680" xr:uid="{00000000-0005-0000-0000-0000EE000000}"/>
    <cellStyle name="Comma 4 2 2 2" xfId="6406" xr:uid="{00000000-0005-0000-0000-0000EF000000}"/>
    <cellStyle name="Comma 4 2 3" xfId="3323" xr:uid="{00000000-0005-0000-0000-0000F0000000}"/>
    <cellStyle name="Comma 4 2 3 2" xfId="6407" xr:uid="{00000000-0005-0000-0000-0000F1000000}"/>
    <cellStyle name="Comma 4 2 4" xfId="5520" xr:uid="{00000000-0005-0000-0000-0000F2000000}"/>
    <cellStyle name="Comma 4 2 5" xfId="6468" xr:uid="{00000000-0005-0000-0000-0000F3000000}"/>
    <cellStyle name="Comma 4 2 6" xfId="4495" xr:uid="{00000000-0005-0000-0000-0000F4000000}"/>
    <cellStyle name="Comma 4 3" xfId="681" xr:uid="{00000000-0005-0000-0000-0000F5000000}"/>
    <cellStyle name="Comma 4 3 2" xfId="2088" xr:uid="{00000000-0005-0000-0000-0000F6000000}"/>
    <cellStyle name="Comma 4 3 2 2" xfId="6409" xr:uid="{00000000-0005-0000-0000-0000F7000000}"/>
    <cellStyle name="Comma 4 3 2 3" xfId="7347" xr:uid="{00000000-0005-0000-0000-0000F8000000}"/>
    <cellStyle name="Comma 4 3 2 4" xfId="7480" xr:uid="{00000000-0005-0000-0000-0000F9000000}"/>
    <cellStyle name="Comma 4 3 3" xfId="6408" xr:uid="{00000000-0005-0000-0000-0000FA000000}"/>
    <cellStyle name="Comma 4 3 4" xfId="7337" xr:uid="{00000000-0005-0000-0000-0000FB000000}"/>
    <cellStyle name="Comma 4 3 5" xfId="7470" xr:uid="{00000000-0005-0000-0000-0000FC000000}"/>
    <cellStyle name="Comma 4 4" xfId="682" xr:uid="{00000000-0005-0000-0000-0000FD000000}"/>
    <cellStyle name="Comma 4 4 2" xfId="2089" xr:uid="{00000000-0005-0000-0000-0000FE000000}"/>
    <cellStyle name="Comma 4 4 2 2" xfId="6411" xr:uid="{00000000-0005-0000-0000-0000FF000000}"/>
    <cellStyle name="Comma 4 4 3" xfId="6410" xr:uid="{00000000-0005-0000-0000-000000010000}"/>
    <cellStyle name="Comma 4 5" xfId="2087" xr:uid="{00000000-0005-0000-0000-000001010000}"/>
    <cellStyle name="Comma 4 5 2" xfId="6412" xr:uid="{00000000-0005-0000-0000-000002010000}"/>
    <cellStyle name="Comma 4 6" xfId="3324" xr:uid="{00000000-0005-0000-0000-000003010000}"/>
    <cellStyle name="Comma 4 6 2" xfId="6413" xr:uid="{00000000-0005-0000-0000-000004010000}"/>
    <cellStyle name="Comma 4 7" xfId="5519" xr:uid="{00000000-0005-0000-0000-000005010000}"/>
    <cellStyle name="Comma 5" xfId="683" xr:uid="{00000000-0005-0000-0000-000006010000}"/>
    <cellStyle name="Comma 5 2" xfId="2090" xr:uid="{00000000-0005-0000-0000-000007010000}"/>
    <cellStyle name="Comma 5 2 2" xfId="6414" xr:uid="{00000000-0005-0000-0000-000008010000}"/>
    <cellStyle name="Comma 5 3" xfId="3325" xr:uid="{00000000-0005-0000-0000-000009010000}"/>
    <cellStyle name="Comma 5 3 2" xfId="6415" xr:uid="{00000000-0005-0000-0000-00000A010000}"/>
    <cellStyle name="Comma 5 4" xfId="5521" xr:uid="{00000000-0005-0000-0000-00000B010000}"/>
    <cellStyle name="Comma 5 5" xfId="4496" xr:uid="{00000000-0005-0000-0000-00000C010000}"/>
    <cellStyle name="Comma 6" xfId="684" xr:uid="{00000000-0005-0000-0000-00000D010000}"/>
    <cellStyle name="Comma 6 2" xfId="2091" xr:uid="{00000000-0005-0000-0000-00000E010000}"/>
    <cellStyle name="Comma 6 2 2" xfId="6416" xr:uid="{00000000-0005-0000-0000-00000F010000}"/>
    <cellStyle name="Comma 6 3" xfId="3326" xr:uid="{00000000-0005-0000-0000-000010010000}"/>
    <cellStyle name="Comma 6 3 2" xfId="6417" xr:uid="{00000000-0005-0000-0000-000011010000}"/>
    <cellStyle name="Comma 6 4" xfId="5522" xr:uid="{00000000-0005-0000-0000-000012010000}"/>
    <cellStyle name="Comma 7" xfId="2012" xr:uid="{00000000-0005-0000-0000-000013010000}"/>
    <cellStyle name="Comma 7 2" xfId="3268" xr:uid="{00000000-0005-0000-0000-000014010000}"/>
    <cellStyle name="Comma 7 2 2" xfId="6419" xr:uid="{00000000-0005-0000-0000-000015010000}"/>
    <cellStyle name="Comma 7 2 3" xfId="7355" xr:uid="{00000000-0005-0000-0000-000016010000}"/>
    <cellStyle name="Comma 7 2 4" xfId="7488" xr:uid="{00000000-0005-0000-0000-000017010000}"/>
    <cellStyle name="Comma 7 3" xfId="6418" xr:uid="{00000000-0005-0000-0000-000018010000}"/>
    <cellStyle name="Comma 7 4" xfId="7345" xr:uid="{00000000-0005-0000-0000-000019010000}"/>
    <cellStyle name="Comma 7 5" xfId="7478" xr:uid="{00000000-0005-0000-0000-00001A010000}"/>
    <cellStyle name="Comma 8" xfId="6386" xr:uid="{00000000-0005-0000-0000-00001B010000}"/>
    <cellStyle name="Comma0 - Type3" xfId="6" xr:uid="{00000000-0005-0000-0000-00001C010000}"/>
    <cellStyle name="CustomizationCells" xfId="685" xr:uid="{00000000-0005-0000-0000-00001D010000}"/>
    <cellStyle name="CustomizationCells 2" xfId="3327" xr:uid="{00000000-0005-0000-0000-00001E010000}"/>
    <cellStyle name="CustomizationCells 2 2" xfId="4498" xr:uid="{00000000-0005-0000-0000-00001F010000}"/>
    <cellStyle name="CustomizationCells 2 3" xfId="7509" xr:uid="{00000000-0005-0000-0000-000020010000}"/>
    <cellStyle name="CustomizationCells 2 4" xfId="7581" xr:uid="{00000000-0005-0000-0000-000021010000}"/>
    <cellStyle name="CustomizationCells 2 5" xfId="7638" xr:uid="{00000000-0005-0000-0000-000022010000}"/>
    <cellStyle name="CustomizationCells 3" xfId="4497" xr:uid="{00000000-0005-0000-0000-000023010000}"/>
    <cellStyle name="CustomizationCells 4" xfId="7493" xr:uid="{00000000-0005-0000-0000-000024010000}"/>
    <cellStyle name="CustomizationCells 5" xfId="7565" xr:uid="{00000000-0005-0000-0000-000025010000}"/>
    <cellStyle name="CustomizationCells 6" xfId="7637" xr:uid="{00000000-0005-0000-0000-000026010000}"/>
    <cellStyle name="Euro" xfId="40" xr:uid="{00000000-0005-0000-0000-000027010000}"/>
    <cellStyle name="Euro 10" xfId="41" xr:uid="{00000000-0005-0000-0000-000028010000}"/>
    <cellStyle name="Euro 10 2" xfId="446" xr:uid="{00000000-0005-0000-0000-000029010000}"/>
    <cellStyle name="Euro 10 2 2" xfId="2092" xr:uid="{00000000-0005-0000-0000-00002A010000}"/>
    <cellStyle name="Euro 10 3" xfId="686" xr:uid="{00000000-0005-0000-0000-00002B010000}"/>
    <cellStyle name="Euro 10 3 2" xfId="687" xr:uid="{00000000-0005-0000-0000-00002C010000}"/>
    <cellStyle name="Euro 10 3 2 2" xfId="3328" xr:uid="{00000000-0005-0000-0000-00002D010000}"/>
    <cellStyle name="Euro 10 3 2 3" xfId="4499" xr:uid="{00000000-0005-0000-0000-00002E010000}"/>
    <cellStyle name="Euro 10 3 3" xfId="688" xr:uid="{00000000-0005-0000-0000-00002F010000}"/>
    <cellStyle name="Euro 10 3 3 2" xfId="2094" xr:uid="{00000000-0005-0000-0000-000030010000}"/>
    <cellStyle name="Euro 10 3 4" xfId="2093" xr:uid="{00000000-0005-0000-0000-000031010000}"/>
    <cellStyle name="Euro 10 4" xfId="689" xr:uid="{00000000-0005-0000-0000-000032010000}"/>
    <cellStyle name="Euro 10 4 2" xfId="690" xr:uid="{00000000-0005-0000-0000-000033010000}"/>
    <cellStyle name="Euro 10 4 2 2" xfId="2096" xr:uid="{00000000-0005-0000-0000-000034010000}"/>
    <cellStyle name="Euro 10 4 3" xfId="2095" xr:uid="{00000000-0005-0000-0000-000035010000}"/>
    <cellStyle name="Euro 10 5" xfId="691" xr:uid="{00000000-0005-0000-0000-000036010000}"/>
    <cellStyle name="Euro 11" xfId="42" xr:uid="{00000000-0005-0000-0000-000037010000}"/>
    <cellStyle name="Euro 11 2" xfId="447" xr:uid="{00000000-0005-0000-0000-000038010000}"/>
    <cellStyle name="Euro 11 2 2" xfId="2097" xr:uid="{00000000-0005-0000-0000-000039010000}"/>
    <cellStyle name="Euro 11 3" xfId="692" xr:uid="{00000000-0005-0000-0000-00003A010000}"/>
    <cellStyle name="Euro 11 3 2" xfId="693" xr:uid="{00000000-0005-0000-0000-00003B010000}"/>
    <cellStyle name="Euro 11 3 2 2" xfId="3329" xr:uid="{00000000-0005-0000-0000-00003C010000}"/>
    <cellStyle name="Euro 11 3 2 3" xfId="4500" xr:uid="{00000000-0005-0000-0000-00003D010000}"/>
    <cellStyle name="Euro 11 3 3" xfId="694" xr:uid="{00000000-0005-0000-0000-00003E010000}"/>
    <cellStyle name="Euro 11 3 3 2" xfId="2099" xr:uid="{00000000-0005-0000-0000-00003F010000}"/>
    <cellStyle name="Euro 11 3 4" xfId="2098" xr:uid="{00000000-0005-0000-0000-000040010000}"/>
    <cellStyle name="Euro 11 4" xfId="695" xr:uid="{00000000-0005-0000-0000-000041010000}"/>
    <cellStyle name="Euro 11 4 2" xfId="696" xr:uid="{00000000-0005-0000-0000-000042010000}"/>
    <cellStyle name="Euro 11 4 2 2" xfId="2101" xr:uid="{00000000-0005-0000-0000-000043010000}"/>
    <cellStyle name="Euro 11 4 3" xfId="2100" xr:uid="{00000000-0005-0000-0000-000044010000}"/>
    <cellStyle name="Euro 11 5" xfId="697" xr:uid="{00000000-0005-0000-0000-000045010000}"/>
    <cellStyle name="Euro 12" xfId="43" xr:uid="{00000000-0005-0000-0000-000046010000}"/>
    <cellStyle name="Euro 12 2" xfId="448" xr:uid="{00000000-0005-0000-0000-000047010000}"/>
    <cellStyle name="Euro 12 2 2" xfId="2102" xr:uid="{00000000-0005-0000-0000-000048010000}"/>
    <cellStyle name="Euro 12 3" xfId="698" xr:uid="{00000000-0005-0000-0000-000049010000}"/>
    <cellStyle name="Euro 12 3 2" xfId="699" xr:uid="{00000000-0005-0000-0000-00004A010000}"/>
    <cellStyle name="Euro 12 3 2 2" xfId="3330" xr:uid="{00000000-0005-0000-0000-00004B010000}"/>
    <cellStyle name="Euro 12 3 2 3" xfId="4501" xr:uid="{00000000-0005-0000-0000-00004C010000}"/>
    <cellStyle name="Euro 12 3 3" xfId="700" xr:uid="{00000000-0005-0000-0000-00004D010000}"/>
    <cellStyle name="Euro 12 3 3 2" xfId="2104" xr:uid="{00000000-0005-0000-0000-00004E010000}"/>
    <cellStyle name="Euro 12 3 4" xfId="2103" xr:uid="{00000000-0005-0000-0000-00004F010000}"/>
    <cellStyle name="Euro 12 4" xfId="701" xr:uid="{00000000-0005-0000-0000-000050010000}"/>
    <cellStyle name="Euro 12 4 2" xfId="702" xr:uid="{00000000-0005-0000-0000-000051010000}"/>
    <cellStyle name="Euro 12 4 2 2" xfId="2106" xr:uid="{00000000-0005-0000-0000-000052010000}"/>
    <cellStyle name="Euro 12 4 3" xfId="2105" xr:uid="{00000000-0005-0000-0000-000053010000}"/>
    <cellStyle name="Euro 12 5" xfId="703" xr:uid="{00000000-0005-0000-0000-000054010000}"/>
    <cellStyle name="Euro 13" xfId="44" xr:uid="{00000000-0005-0000-0000-000055010000}"/>
    <cellStyle name="Euro 13 2" xfId="449" xr:uid="{00000000-0005-0000-0000-000056010000}"/>
    <cellStyle name="Euro 13 2 2" xfId="2107" xr:uid="{00000000-0005-0000-0000-000057010000}"/>
    <cellStyle name="Euro 13 3" xfId="704" xr:uid="{00000000-0005-0000-0000-000058010000}"/>
    <cellStyle name="Euro 13 3 2" xfId="705" xr:uid="{00000000-0005-0000-0000-000059010000}"/>
    <cellStyle name="Euro 13 3 2 2" xfId="3331" xr:uid="{00000000-0005-0000-0000-00005A010000}"/>
    <cellStyle name="Euro 13 3 2 3" xfId="4502" xr:uid="{00000000-0005-0000-0000-00005B010000}"/>
    <cellStyle name="Euro 13 3 3" xfId="706" xr:uid="{00000000-0005-0000-0000-00005C010000}"/>
    <cellStyle name="Euro 13 3 3 2" xfId="2109" xr:uid="{00000000-0005-0000-0000-00005D010000}"/>
    <cellStyle name="Euro 13 3 4" xfId="2108" xr:uid="{00000000-0005-0000-0000-00005E010000}"/>
    <cellStyle name="Euro 13 4" xfId="707" xr:uid="{00000000-0005-0000-0000-00005F010000}"/>
    <cellStyle name="Euro 13 4 2" xfId="708" xr:uid="{00000000-0005-0000-0000-000060010000}"/>
    <cellStyle name="Euro 13 4 2 2" xfId="2111" xr:uid="{00000000-0005-0000-0000-000061010000}"/>
    <cellStyle name="Euro 13 4 3" xfId="2110" xr:uid="{00000000-0005-0000-0000-000062010000}"/>
    <cellStyle name="Euro 13 5" xfId="709" xr:uid="{00000000-0005-0000-0000-000063010000}"/>
    <cellStyle name="Euro 14" xfId="45" xr:uid="{00000000-0005-0000-0000-000064010000}"/>
    <cellStyle name="Euro 14 2" xfId="450" xr:uid="{00000000-0005-0000-0000-000065010000}"/>
    <cellStyle name="Euro 14 2 2" xfId="2112" xr:uid="{00000000-0005-0000-0000-000066010000}"/>
    <cellStyle name="Euro 14 3" xfId="710" xr:uid="{00000000-0005-0000-0000-000067010000}"/>
    <cellStyle name="Euro 14 3 2" xfId="711" xr:uid="{00000000-0005-0000-0000-000068010000}"/>
    <cellStyle name="Euro 14 3 2 2" xfId="3332" xr:uid="{00000000-0005-0000-0000-000069010000}"/>
    <cellStyle name="Euro 14 3 2 3" xfId="4503" xr:uid="{00000000-0005-0000-0000-00006A010000}"/>
    <cellStyle name="Euro 14 3 3" xfId="712" xr:uid="{00000000-0005-0000-0000-00006B010000}"/>
    <cellStyle name="Euro 14 3 3 2" xfId="2114" xr:uid="{00000000-0005-0000-0000-00006C010000}"/>
    <cellStyle name="Euro 14 3 4" xfId="2113" xr:uid="{00000000-0005-0000-0000-00006D010000}"/>
    <cellStyle name="Euro 14 4" xfId="713" xr:uid="{00000000-0005-0000-0000-00006E010000}"/>
    <cellStyle name="Euro 14 4 2" xfId="714" xr:uid="{00000000-0005-0000-0000-00006F010000}"/>
    <cellStyle name="Euro 14 4 2 2" xfId="2116" xr:uid="{00000000-0005-0000-0000-000070010000}"/>
    <cellStyle name="Euro 14 4 3" xfId="2115" xr:uid="{00000000-0005-0000-0000-000071010000}"/>
    <cellStyle name="Euro 14 5" xfId="715" xr:uid="{00000000-0005-0000-0000-000072010000}"/>
    <cellStyle name="Euro 15" xfId="46" xr:uid="{00000000-0005-0000-0000-000073010000}"/>
    <cellStyle name="Euro 15 2" xfId="451" xr:uid="{00000000-0005-0000-0000-000074010000}"/>
    <cellStyle name="Euro 15 2 2" xfId="2117" xr:uid="{00000000-0005-0000-0000-000075010000}"/>
    <cellStyle name="Euro 15 3" xfId="716" xr:uid="{00000000-0005-0000-0000-000076010000}"/>
    <cellStyle name="Euro 15 3 2" xfId="717" xr:uid="{00000000-0005-0000-0000-000077010000}"/>
    <cellStyle name="Euro 15 3 2 2" xfId="3333" xr:uid="{00000000-0005-0000-0000-000078010000}"/>
    <cellStyle name="Euro 15 3 2 3" xfId="4504" xr:uid="{00000000-0005-0000-0000-000079010000}"/>
    <cellStyle name="Euro 15 3 3" xfId="718" xr:uid="{00000000-0005-0000-0000-00007A010000}"/>
    <cellStyle name="Euro 15 3 3 2" xfId="2119" xr:uid="{00000000-0005-0000-0000-00007B010000}"/>
    <cellStyle name="Euro 15 3 4" xfId="2118" xr:uid="{00000000-0005-0000-0000-00007C010000}"/>
    <cellStyle name="Euro 15 4" xfId="719" xr:uid="{00000000-0005-0000-0000-00007D010000}"/>
    <cellStyle name="Euro 15 4 2" xfId="720" xr:uid="{00000000-0005-0000-0000-00007E010000}"/>
    <cellStyle name="Euro 15 4 2 2" xfId="2121" xr:uid="{00000000-0005-0000-0000-00007F010000}"/>
    <cellStyle name="Euro 15 4 3" xfId="2120" xr:uid="{00000000-0005-0000-0000-000080010000}"/>
    <cellStyle name="Euro 15 5" xfId="721" xr:uid="{00000000-0005-0000-0000-000081010000}"/>
    <cellStyle name="Euro 16" xfId="47" xr:uid="{00000000-0005-0000-0000-000082010000}"/>
    <cellStyle name="Euro 16 2" xfId="452" xr:uid="{00000000-0005-0000-0000-000083010000}"/>
    <cellStyle name="Euro 16 2 2" xfId="2122" xr:uid="{00000000-0005-0000-0000-000084010000}"/>
    <cellStyle name="Euro 16 3" xfId="722" xr:uid="{00000000-0005-0000-0000-000085010000}"/>
    <cellStyle name="Euro 16 3 2" xfId="723" xr:uid="{00000000-0005-0000-0000-000086010000}"/>
    <cellStyle name="Euro 16 3 2 2" xfId="3334" xr:uid="{00000000-0005-0000-0000-000087010000}"/>
    <cellStyle name="Euro 16 3 2 3" xfId="4505" xr:uid="{00000000-0005-0000-0000-000088010000}"/>
    <cellStyle name="Euro 16 3 3" xfId="724" xr:uid="{00000000-0005-0000-0000-000089010000}"/>
    <cellStyle name="Euro 16 3 3 2" xfId="2124" xr:uid="{00000000-0005-0000-0000-00008A010000}"/>
    <cellStyle name="Euro 16 3 4" xfId="2123" xr:uid="{00000000-0005-0000-0000-00008B010000}"/>
    <cellStyle name="Euro 16 4" xfId="725" xr:uid="{00000000-0005-0000-0000-00008C010000}"/>
    <cellStyle name="Euro 16 4 2" xfId="726" xr:uid="{00000000-0005-0000-0000-00008D010000}"/>
    <cellStyle name="Euro 16 4 2 2" xfId="2126" xr:uid="{00000000-0005-0000-0000-00008E010000}"/>
    <cellStyle name="Euro 16 4 3" xfId="2125" xr:uid="{00000000-0005-0000-0000-00008F010000}"/>
    <cellStyle name="Euro 16 5" xfId="727" xr:uid="{00000000-0005-0000-0000-000090010000}"/>
    <cellStyle name="Euro 17" xfId="48" xr:uid="{00000000-0005-0000-0000-000091010000}"/>
    <cellStyle name="Euro 17 2" xfId="453" xr:uid="{00000000-0005-0000-0000-000092010000}"/>
    <cellStyle name="Euro 17 2 2" xfId="2127" xr:uid="{00000000-0005-0000-0000-000093010000}"/>
    <cellStyle name="Euro 17 3" xfId="728" xr:uid="{00000000-0005-0000-0000-000094010000}"/>
    <cellStyle name="Euro 17 3 2" xfId="729" xr:uid="{00000000-0005-0000-0000-000095010000}"/>
    <cellStyle name="Euro 17 3 2 2" xfId="3335" xr:uid="{00000000-0005-0000-0000-000096010000}"/>
    <cellStyle name="Euro 17 3 2 3" xfId="4506" xr:uid="{00000000-0005-0000-0000-000097010000}"/>
    <cellStyle name="Euro 17 3 3" xfId="730" xr:uid="{00000000-0005-0000-0000-000098010000}"/>
    <cellStyle name="Euro 17 3 3 2" xfId="2129" xr:uid="{00000000-0005-0000-0000-000099010000}"/>
    <cellStyle name="Euro 17 3 4" xfId="2128" xr:uid="{00000000-0005-0000-0000-00009A010000}"/>
    <cellStyle name="Euro 17 4" xfId="731" xr:uid="{00000000-0005-0000-0000-00009B010000}"/>
    <cellStyle name="Euro 17 4 2" xfId="732" xr:uid="{00000000-0005-0000-0000-00009C010000}"/>
    <cellStyle name="Euro 17 4 2 2" xfId="2131" xr:uid="{00000000-0005-0000-0000-00009D010000}"/>
    <cellStyle name="Euro 17 4 3" xfId="2130" xr:uid="{00000000-0005-0000-0000-00009E010000}"/>
    <cellStyle name="Euro 17 5" xfId="733" xr:uid="{00000000-0005-0000-0000-00009F010000}"/>
    <cellStyle name="Euro 18" xfId="49" xr:uid="{00000000-0005-0000-0000-0000A0010000}"/>
    <cellStyle name="Euro 18 2" xfId="454" xr:uid="{00000000-0005-0000-0000-0000A1010000}"/>
    <cellStyle name="Euro 18 2 2" xfId="2132" xr:uid="{00000000-0005-0000-0000-0000A2010000}"/>
    <cellStyle name="Euro 18 3" xfId="734" xr:uid="{00000000-0005-0000-0000-0000A3010000}"/>
    <cellStyle name="Euro 18 3 2" xfId="735" xr:uid="{00000000-0005-0000-0000-0000A4010000}"/>
    <cellStyle name="Euro 18 3 2 2" xfId="3336" xr:uid="{00000000-0005-0000-0000-0000A5010000}"/>
    <cellStyle name="Euro 18 3 2 3" xfId="4507" xr:uid="{00000000-0005-0000-0000-0000A6010000}"/>
    <cellStyle name="Euro 18 3 3" xfId="736" xr:uid="{00000000-0005-0000-0000-0000A7010000}"/>
    <cellStyle name="Euro 18 3 3 2" xfId="2134" xr:uid="{00000000-0005-0000-0000-0000A8010000}"/>
    <cellStyle name="Euro 18 3 4" xfId="2133" xr:uid="{00000000-0005-0000-0000-0000A9010000}"/>
    <cellStyle name="Euro 18 4" xfId="737" xr:uid="{00000000-0005-0000-0000-0000AA010000}"/>
    <cellStyle name="Euro 18 4 2" xfId="738" xr:uid="{00000000-0005-0000-0000-0000AB010000}"/>
    <cellStyle name="Euro 18 4 2 2" xfId="2136" xr:uid="{00000000-0005-0000-0000-0000AC010000}"/>
    <cellStyle name="Euro 18 4 3" xfId="2135" xr:uid="{00000000-0005-0000-0000-0000AD010000}"/>
    <cellStyle name="Euro 18 5" xfId="739" xr:uid="{00000000-0005-0000-0000-0000AE010000}"/>
    <cellStyle name="Euro 19" xfId="50" xr:uid="{00000000-0005-0000-0000-0000AF010000}"/>
    <cellStyle name="Euro 19 2" xfId="455" xr:uid="{00000000-0005-0000-0000-0000B0010000}"/>
    <cellStyle name="Euro 19 2 2" xfId="2137" xr:uid="{00000000-0005-0000-0000-0000B1010000}"/>
    <cellStyle name="Euro 19 3" xfId="740" xr:uid="{00000000-0005-0000-0000-0000B2010000}"/>
    <cellStyle name="Euro 19 3 2" xfId="741" xr:uid="{00000000-0005-0000-0000-0000B3010000}"/>
    <cellStyle name="Euro 19 3 2 2" xfId="3337" xr:uid="{00000000-0005-0000-0000-0000B4010000}"/>
    <cellStyle name="Euro 19 3 2 3" xfId="4508" xr:uid="{00000000-0005-0000-0000-0000B5010000}"/>
    <cellStyle name="Euro 19 3 3" xfId="742" xr:uid="{00000000-0005-0000-0000-0000B6010000}"/>
    <cellStyle name="Euro 19 3 3 2" xfId="2139" xr:uid="{00000000-0005-0000-0000-0000B7010000}"/>
    <cellStyle name="Euro 19 3 4" xfId="2138" xr:uid="{00000000-0005-0000-0000-0000B8010000}"/>
    <cellStyle name="Euro 19 4" xfId="743" xr:uid="{00000000-0005-0000-0000-0000B9010000}"/>
    <cellStyle name="Euro 19 4 2" xfId="744" xr:uid="{00000000-0005-0000-0000-0000BA010000}"/>
    <cellStyle name="Euro 19 4 2 2" xfId="2141" xr:uid="{00000000-0005-0000-0000-0000BB010000}"/>
    <cellStyle name="Euro 19 4 3" xfId="2140" xr:uid="{00000000-0005-0000-0000-0000BC010000}"/>
    <cellStyle name="Euro 19 5" xfId="745" xr:uid="{00000000-0005-0000-0000-0000BD010000}"/>
    <cellStyle name="Euro 2" xfId="51" xr:uid="{00000000-0005-0000-0000-0000BE010000}"/>
    <cellStyle name="Euro 2 2" xfId="456" xr:uid="{00000000-0005-0000-0000-0000BF010000}"/>
    <cellStyle name="Euro 2 2 2" xfId="2142" xr:uid="{00000000-0005-0000-0000-0000C0010000}"/>
    <cellStyle name="Euro 2 3" xfId="746" xr:uid="{00000000-0005-0000-0000-0000C1010000}"/>
    <cellStyle name="Euro 2 3 2" xfId="747" xr:uid="{00000000-0005-0000-0000-0000C2010000}"/>
    <cellStyle name="Euro 2 3 2 2" xfId="3338" xr:uid="{00000000-0005-0000-0000-0000C3010000}"/>
    <cellStyle name="Euro 2 3 2 3" xfId="4509" xr:uid="{00000000-0005-0000-0000-0000C4010000}"/>
    <cellStyle name="Euro 2 3 3" xfId="748" xr:uid="{00000000-0005-0000-0000-0000C5010000}"/>
    <cellStyle name="Euro 2 3 3 2" xfId="2144" xr:uid="{00000000-0005-0000-0000-0000C6010000}"/>
    <cellStyle name="Euro 2 3 4" xfId="2143" xr:uid="{00000000-0005-0000-0000-0000C7010000}"/>
    <cellStyle name="Euro 2 4" xfId="749" xr:uid="{00000000-0005-0000-0000-0000C8010000}"/>
    <cellStyle name="Euro 2 4 2" xfId="750" xr:uid="{00000000-0005-0000-0000-0000C9010000}"/>
    <cellStyle name="Euro 2 4 2 2" xfId="2146" xr:uid="{00000000-0005-0000-0000-0000CA010000}"/>
    <cellStyle name="Euro 2 4 3" xfId="2145" xr:uid="{00000000-0005-0000-0000-0000CB010000}"/>
    <cellStyle name="Euro 2 5" xfId="751" xr:uid="{00000000-0005-0000-0000-0000CC010000}"/>
    <cellStyle name="Euro 20" xfId="52" xr:uid="{00000000-0005-0000-0000-0000CD010000}"/>
    <cellStyle name="Euro 20 2" xfId="457" xr:uid="{00000000-0005-0000-0000-0000CE010000}"/>
    <cellStyle name="Euro 20 2 2" xfId="2147" xr:uid="{00000000-0005-0000-0000-0000CF010000}"/>
    <cellStyle name="Euro 20 3" xfId="752" xr:uid="{00000000-0005-0000-0000-0000D0010000}"/>
    <cellStyle name="Euro 20 3 2" xfId="753" xr:uid="{00000000-0005-0000-0000-0000D1010000}"/>
    <cellStyle name="Euro 20 3 2 2" xfId="3339" xr:uid="{00000000-0005-0000-0000-0000D2010000}"/>
    <cellStyle name="Euro 20 3 2 3" xfId="4510" xr:uid="{00000000-0005-0000-0000-0000D3010000}"/>
    <cellStyle name="Euro 20 3 3" xfId="754" xr:uid="{00000000-0005-0000-0000-0000D4010000}"/>
    <cellStyle name="Euro 20 3 3 2" xfId="2149" xr:uid="{00000000-0005-0000-0000-0000D5010000}"/>
    <cellStyle name="Euro 20 3 4" xfId="2148" xr:uid="{00000000-0005-0000-0000-0000D6010000}"/>
    <cellStyle name="Euro 20 4" xfId="755" xr:uid="{00000000-0005-0000-0000-0000D7010000}"/>
    <cellStyle name="Euro 20 4 2" xfId="756" xr:uid="{00000000-0005-0000-0000-0000D8010000}"/>
    <cellStyle name="Euro 20 4 2 2" xfId="2151" xr:uid="{00000000-0005-0000-0000-0000D9010000}"/>
    <cellStyle name="Euro 20 4 3" xfId="2150" xr:uid="{00000000-0005-0000-0000-0000DA010000}"/>
    <cellStyle name="Euro 20 5" xfId="757" xr:uid="{00000000-0005-0000-0000-0000DB010000}"/>
    <cellStyle name="Euro 21" xfId="53" xr:uid="{00000000-0005-0000-0000-0000DC010000}"/>
    <cellStyle name="Euro 21 2" xfId="458" xr:uid="{00000000-0005-0000-0000-0000DD010000}"/>
    <cellStyle name="Euro 21 2 2" xfId="2152" xr:uid="{00000000-0005-0000-0000-0000DE010000}"/>
    <cellStyle name="Euro 21 3" xfId="758" xr:uid="{00000000-0005-0000-0000-0000DF010000}"/>
    <cellStyle name="Euro 21 3 2" xfId="759" xr:uid="{00000000-0005-0000-0000-0000E0010000}"/>
    <cellStyle name="Euro 21 3 2 2" xfId="3340" xr:uid="{00000000-0005-0000-0000-0000E1010000}"/>
    <cellStyle name="Euro 21 3 2 3" xfId="4511" xr:uid="{00000000-0005-0000-0000-0000E2010000}"/>
    <cellStyle name="Euro 21 3 3" xfId="760" xr:uid="{00000000-0005-0000-0000-0000E3010000}"/>
    <cellStyle name="Euro 21 3 3 2" xfId="2154" xr:uid="{00000000-0005-0000-0000-0000E4010000}"/>
    <cellStyle name="Euro 21 3 4" xfId="2153" xr:uid="{00000000-0005-0000-0000-0000E5010000}"/>
    <cellStyle name="Euro 21 4" xfId="761" xr:uid="{00000000-0005-0000-0000-0000E6010000}"/>
    <cellStyle name="Euro 21 4 2" xfId="762" xr:uid="{00000000-0005-0000-0000-0000E7010000}"/>
    <cellStyle name="Euro 21 4 2 2" xfId="2156" xr:uid="{00000000-0005-0000-0000-0000E8010000}"/>
    <cellStyle name="Euro 21 4 3" xfId="2155" xr:uid="{00000000-0005-0000-0000-0000E9010000}"/>
    <cellStyle name="Euro 21 5" xfId="763" xr:uid="{00000000-0005-0000-0000-0000EA010000}"/>
    <cellStyle name="Euro 22" xfId="54" xr:uid="{00000000-0005-0000-0000-0000EB010000}"/>
    <cellStyle name="Euro 22 2" xfId="459" xr:uid="{00000000-0005-0000-0000-0000EC010000}"/>
    <cellStyle name="Euro 22 2 2" xfId="2157" xr:uid="{00000000-0005-0000-0000-0000ED010000}"/>
    <cellStyle name="Euro 22 3" xfId="764" xr:uid="{00000000-0005-0000-0000-0000EE010000}"/>
    <cellStyle name="Euro 22 3 2" xfId="765" xr:uid="{00000000-0005-0000-0000-0000EF010000}"/>
    <cellStyle name="Euro 22 3 2 2" xfId="3341" xr:uid="{00000000-0005-0000-0000-0000F0010000}"/>
    <cellStyle name="Euro 22 3 2 3" xfId="4512" xr:uid="{00000000-0005-0000-0000-0000F1010000}"/>
    <cellStyle name="Euro 22 3 3" xfId="766" xr:uid="{00000000-0005-0000-0000-0000F2010000}"/>
    <cellStyle name="Euro 22 3 3 2" xfId="2159" xr:uid="{00000000-0005-0000-0000-0000F3010000}"/>
    <cellStyle name="Euro 22 3 4" xfId="2158" xr:uid="{00000000-0005-0000-0000-0000F4010000}"/>
    <cellStyle name="Euro 22 4" xfId="767" xr:uid="{00000000-0005-0000-0000-0000F5010000}"/>
    <cellStyle name="Euro 22 4 2" xfId="768" xr:uid="{00000000-0005-0000-0000-0000F6010000}"/>
    <cellStyle name="Euro 22 4 2 2" xfId="2161" xr:uid="{00000000-0005-0000-0000-0000F7010000}"/>
    <cellStyle name="Euro 22 4 3" xfId="2160" xr:uid="{00000000-0005-0000-0000-0000F8010000}"/>
    <cellStyle name="Euro 22 5" xfId="769" xr:uid="{00000000-0005-0000-0000-0000F9010000}"/>
    <cellStyle name="Euro 23" xfId="55" xr:uid="{00000000-0005-0000-0000-0000FA010000}"/>
    <cellStyle name="Euro 23 2" xfId="460" xr:uid="{00000000-0005-0000-0000-0000FB010000}"/>
    <cellStyle name="Euro 23 2 2" xfId="2162" xr:uid="{00000000-0005-0000-0000-0000FC010000}"/>
    <cellStyle name="Euro 23 3" xfId="770" xr:uid="{00000000-0005-0000-0000-0000FD010000}"/>
    <cellStyle name="Euro 23 3 2" xfId="771" xr:uid="{00000000-0005-0000-0000-0000FE010000}"/>
    <cellStyle name="Euro 23 3 2 2" xfId="3342" xr:uid="{00000000-0005-0000-0000-0000FF010000}"/>
    <cellStyle name="Euro 23 3 2 3" xfId="4513" xr:uid="{00000000-0005-0000-0000-000000020000}"/>
    <cellStyle name="Euro 23 3 3" xfId="772" xr:uid="{00000000-0005-0000-0000-000001020000}"/>
    <cellStyle name="Euro 23 3 3 2" xfId="2164" xr:uid="{00000000-0005-0000-0000-000002020000}"/>
    <cellStyle name="Euro 23 3 4" xfId="2163" xr:uid="{00000000-0005-0000-0000-000003020000}"/>
    <cellStyle name="Euro 23 4" xfId="773" xr:uid="{00000000-0005-0000-0000-000004020000}"/>
    <cellStyle name="Euro 23 4 2" xfId="774" xr:uid="{00000000-0005-0000-0000-000005020000}"/>
    <cellStyle name="Euro 23 4 2 2" xfId="2166" xr:uid="{00000000-0005-0000-0000-000006020000}"/>
    <cellStyle name="Euro 23 4 3" xfId="2165" xr:uid="{00000000-0005-0000-0000-000007020000}"/>
    <cellStyle name="Euro 23 5" xfId="775" xr:uid="{00000000-0005-0000-0000-000008020000}"/>
    <cellStyle name="Euro 24" xfId="56" xr:uid="{00000000-0005-0000-0000-000009020000}"/>
    <cellStyle name="Euro 24 2" xfId="461" xr:uid="{00000000-0005-0000-0000-00000A020000}"/>
    <cellStyle name="Euro 24 2 2" xfId="2167" xr:uid="{00000000-0005-0000-0000-00000B020000}"/>
    <cellStyle name="Euro 24 3" xfId="776" xr:uid="{00000000-0005-0000-0000-00000C020000}"/>
    <cellStyle name="Euro 24 3 2" xfId="777" xr:uid="{00000000-0005-0000-0000-00000D020000}"/>
    <cellStyle name="Euro 24 3 2 2" xfId="3343" xr:uid="{00000000-0005-0000-0000-00000E020000}"/>
    <cellStyle name="Euro 24 3 2 3" xfId="4514" xr:uid="{00000000-0005-0000-0000-00000F020000}"/>
    <cellStyle name="Euro 24 3 3" xfId="778" xr:uid="{00000000-0005-0000-0000-000010020000}"/>
    <cellStyle name="Euro 24 3 3 2" xfId="2169" xr:uid="{00000000-0005-0000-0000-000011020000}"/>
    <cellStyle name="Euro 24 3 4" xfId="2168" xr:uid="{00000000-0005-0000-0000-000012020000}"/>
    <cellStyle name="Euro 24 4" xfId="779" xr:uid="{00000000-0005-0000-0000-000013020000}"/>
    <cellStyle name="Euro 24 4 2" xfId="780" xr:uid="{00000000-0005-0000-0000-000014020000}"/>
    <cellStyle name="Euro 24 4 2 2" xfId="2171" xr:uid="{00000000-0005-0000-0000-000015020000}"/>
    <cellStyle name="Euro 24 4 3" xfId="2170" xr:uid="{00000000-0005-0000-0000-000016020000}"/>
    <cellStyle name="Euro 24 5" xfId="781" xr:uid="{00000000-0005-0000-0000-000017020000}"/>
    <cellStyle name="Euro 25" xfId="57" xr:uid="{00000000-0005-0000-0000-000018020000}"/>
    <cellStyle name="Euro 25 2" xfId="462" xr:uid="{00000000-0005-0000-0000-000019020000}"/>
    <cellStyle name="Euro 25 2 2" xfId="2172" xr:uid="{00000000-0005-0000-0000-00001A020000}"/>
    <cellStyle name="Euro 25 3" xfId="782" xr:uid="{00000000-0005-0000-0000-00001B020000}"/>
    <cellStyle name="Euro 25 3 2" xfId="783" xr:uid="{00000000-0005-0000-0000-00001C020000}"/>
    <cellStyle name="Euro 25 3 2 2" xfId="3344" xr:uid="{00000000-0005-0000-0000-00001D020000}"/>
    <cellStyle name="Euro 25 3 2 3" xfId="4515" xr:uid="{00000000-0005-0000-0000-00001E020000}"/>
    <cellStyle name="Euro 25 3 3" xfId="784" xr:uid="{00000000-0005-0000-0000-00001F020000}"/>
    <cellStyle name="Euro 25 3 3 2" xfId="2174" xr:uid="{00000000-0005-0000-0000-000020020000}"/>
    <cellStyle name="Euro 25 3 4" xfId="2173" xr:uid="{00000000-0005-0000-0000-000021020000}"/>
    <cellStyle name="Euro 25 4" xfId="785" xr:uid="{00000000-0005-0000-0000-000022020000}"/>
    <cellStyle name="Euro 25 4 2" xfId="786" xr:uid="{00000000-0005-0000-0000-000023020000}"/>
    <cellStyle name="Euro 25 4 2 2" xfId="2176" xr:uid="{00000000-0005-0000-0000-000024020000}"/>
    <cellStyle name="Euro 25 4 3" xfId="2175" xr:uid="{00000000-0005-0000-0000-000025020000}"/>
    <cellStyle name="Euro 25 5" xfId="787" xr:uid="{00000000-0005-0000-0000-000026020000}"/>
    <cellStyle name="Euro 26" xfId="58" xr:uid="{00000000-0005-0000-0000-000027020000}"/>
    <cellStyle name="Euro 26 2" xfId="463" xr:uid="{00000000-0005-0000-0000-000028020000}"/>
    <cellStyle name="Euro 26 2 2" xfId="2177" xr:uid="{00000000-0005-0000-0000-000029020000}"/>
    <cellStyle name="Euro 26 3" xfId="788" xr:uid="{00000000-0005-0000-0000-00002A020000}"/>
    <cellStyle name="Euro 26 3 2" xfId="789" xr:uid="{00000000-0005-0000-0000-00002B020000}"/>
    <cellStyle name="Euro 26 3 2 2" xfId="3345" xr:uid="{00000000-0005-0000-0000-00002C020000}"/>
    <cellStyle name="Euro 26 3 2 3" xfId="4516" xr:uid="{00000000-0005-0000-0000-00002D020000}"/>
    <cellStyle name="Euro 26 3 3" xfId="790" xr:uid="{00000000-0005-0000-0000-00002E020000}"/>
    <cellStyle name="Euro 26 3 3 2" xfId="2179" xr:uid="{00000000-0005-0000-0000-00002F020000}"/>
    <cellStyle name="Euro 26 3 4" xfId="2178" xr:uid="{00000000-0005-0000-0000-000030020000}"/>
    <cellStyle name="Euro 26 4" xfId="791" xr:uid="{00000000-0005-0000-0000-000031020000}"/>
    <cellStyle name="Euro 26 4 2" xfId="792" xr:uid="{00000000-0005-0000-0000-000032020000}"/>
    <cellStyle name="Euro 26 4 2 2" xfId="2181" xr:uid="{00000000-0005-0000-0000-000033020000}"/>
    <cellStyle name="Euro 26 4 3" xfId="2180" xr:uid="{00000000-0005-0000-0000-000034020000}"/>
    <cellStyle name="Euro 26 5" xfId="793" xr:uid="{00000000-0005-0000-0000-000035020000}"/>
    <cellStyle name="Euro 27" xfId="59" xr:uid="{00000000-0005-0000-0000-000036020000}"/>
    <cellStyle name="Euro 27 2" xfId="464" xr:uid="{00000000-0005-0000-0000-000037020000}"/>
    <cellStyle name="Euro 27 2 2" xfId="2182" xr:uid="{00000000-0005-0000-0000-000038020000}"/>
    <cellStyle name="Euro 27 3" xfId="794" xr:uid="{00000000-0005-0000-0000-000039020000}"/>
    <cellStyle name="Euro 27 3 2" xfId="795" xr:uid="{00000000-0005-0000-0000-00003A020000}"/>
    <cellStyle name="Euro 27 3 2 2" xfId="3346" xr:uid="{00000000-0005-0000-0000-00003B020000}"/>
    <cellStyle name="Euro 27 3 2 3" xfId="4517" xr:uid="{00000000-0005-0000-0000-00003C020000}"/>
    <cellStyle name="Euro 27 3 3" xfId="796" xr:uid="{00000000-0005-0000-0000-00003D020000}"/>
    <cellStyle name="Euro 27 3 3 2" xfId="2184" xr:uid="{00000000-0005-0000-0000-00003E020000}"/>
    <cellStyle name="Euro 27 3 4" xfId="2183" xr:uid="{00000000-0005-0000-0000-00003F020000}"/>
    <cellStyle name="Euro 27 4" xfId="797" xr:uid="{00000000-0005-0000-0000-000040020000}"/>
    <cellStyle name="Euro 27 4 2" xfId="798" xr:uid="{00000000-0005-0000-0000-000041020000}"/>
    <cellStyle name="Euro 27 4 2 2" xfId="2186" xr:uid="{00000000-0005-0000-0000-000042020000}"/>
    <cellStyle name="Euro 27 4 3" xfId="2185" xr:uid="{00000000-0005-0000-0000-000043020000}"/>
    <cellStyle name="Euro 27 5" xfId="799" xr:uid="{00000000-0005-0000-0000-000044020000}"/>
    <cellStyle name="Euro 28" xfId="60" xr:uid="{00000000-0005-0000-0000-000045020000}"/>
    <cellStyle name="Euro 28 2" xfId="465" xr:uid="{00000000-0005-0000-0000-000046020000}"/>
    <cellStyle name="Euro 28 2 2" xfId="2187" xr:uid="{00000000-0005-0000-0000-000047020000}"/>
    <cellStyle name="Euro 28 3" xfId="800" xr:uid="{00000000-0005-0000-0000-000048020000}"/>
    <cellStyle name="Euro 28 3 2" xfId="801" xr:uid="{00000000-0005-0000-0000-000049020000}"/>
    <cellStyle name="Euro 28 3 2 2" xfId="3347" xr:uid="{00000000-0005-0000-0000-00004A020000}"/>
    <cellStyle name="Euro 28 3 2 3" xfId="4518" xr:uid="{00000000-0005-0000-0000-00004B020000}"/>
    <cellStyle name="Euro 28 3 3" xfId="802" xr:uid="{00000000-0005-0000-0000-00004C020000}"/>
    <cellStyle name="Euro 28 3 3 2" xfId="2189" xr:uid="{00000000-0005-0000-0000-00004D020000}"/>
    <cellStyle name="Euro 28 3 4" xfId="2188" xr:uid="{00000000-0005-0000-0000-00004E020000}"/>
    <cellStyle name="Euro 28 4" xfId="803" xr:uid="{00000000-0005-0000-0000-00004F020000}"/>
    <cellStyle name="Euro 28 4 2" xfId="804" xr:uid="{00000000-0005-0000-0000-000050020000}"/>
    <cellStyle name="Euro 28 4 2 2" xfId="2191" xr:uid="{00000000-0005-0000-0000-000051020000}"/>
    <cellStyle name="Euro 28 4 3" xfId="2190" xr:uid="{00000000-0005-0000-0000-000052020000}"/>
    <cellStyle name="Euro 28 5" xfId="805" xr:uid="{00000000-0005-0000-0000-000053020000}"/>
    <cellStyle name="Euro 29" xfId="61" xr:uid="{00000000-0005-0000-0000-000054020000}"/>
    <cellStyle name="Euro 29 2" xfId="466" xr:uid="{00000000-0005-0000-0000-000055020000}"/>
    <cellStyle name="Euro 29 2 2" xfId="2192" xr:uid="{00000000-0005-0000-0000-000056020000}"/>
    <cellStyle name="Euro 29 3" xfId="806" xr:uid="{00000000-0005-0000-0000-000057020000}"/>
    <cellStyle name="Euro 29 3 2" xfId="807" xr:uid="{00000000-0005-0000-0000-000058020000}"/>
    <cellStyle name="Euro 29 3 2 2" xfId="3348" xr:uid="{00000000-0005-0000-0000-000059020000}"/>
    <cellStyle name="Euro 29 3 2 3" xfId="4519" xr:uid="{00000000-0005-0000-0000-00005A020000}"/>
    <cellStyle name="Euro 29 3 3" xfId="808" xr:uid="{00000000-0005-0000-0000-00005B020000}"/>
    <cellStyle name="Euro 29 3 3 2" xfId="2194" xr:uid="{00000000-0005-0000-0000-00005C020000}"/>
    <cellStyle name="Euro 29 3 4" xfId="2193" xr:uid="{00000000-0005-0000-0000-00005D020000}"/>
    <cellStyle name="Euro 29 4" xfId="809" xr:uid="{00000000-0005-0000-0000-00005E020000}"/>
    <cellStyle name="Euro 29 4 2" xfId="810" xr:uid="{00000000-0005-0000-0000-00005F020000}"/>
    <cellStyle name="Euro 29 4 2 2" xfId="2196" xr:uid="{00000000-0005-0000-0000-000060020000}"/>
    <cellStyle name="Euro 29 4 3" xfId="2195" xr:uid="{00000000-0005-0000-0000-000061020000}"/>
    <cellStyle name="Euro 29 5" xfId="811" xr:uid="{00000000-0005-0000-0000-000062020000}"/>
    <cellStyle name="Euro 3" xfId="62" xr:uid="{00000000-0005-0000-0000-000063020000}"/>
    <cellStyle name="Euro 3 2" xfId="467" xr:uid="{00000000-0005-0000-0000-000064020000}"/>
    <cellStyle name="Euro 3 2 2" xfId="2197" xr:uid="{00000000-0005-0000-0000-000065020000}"/>
    <cellStyle name="Euro 3 3" xfId="812" xr:uid="{00000000-0005-0000-0000-000066020000}"/>
    <cellStyle name="Euro 3 3 2" xfId="813" xr:uid="{00000000-0005-0000-0000-000067020000}"/>
    <cellStyle name="Euro 3 3 2 2" xfId="3349" xr:uid="{00000000-0005-0000-0000-000068020000}"/>
    <cellStyle name="Euro 3 3 2 3" xfId="4520" xr:uid="{00000000-0005-0000-0000-000069020000}"/>
    <cellStyle name="Euro 3 3 3" xfId="814" xr:uid="{00000000-0005-0000-0000-00006A020000}"/>
    <cellStyle name="Euro 3 3 3 2" xfId="2199" xr:uid="{00000000-0005-0000-0000-00006B020000}"/>
    <cellStyle name="Euro 3 3 4" xfId="2198" xr:uid="{00000000-0005-0000-0000-00006C020000}"/>
    <cellStyle name="Euro 3 4" xfId="815" xr:uid="{00000000-0005-0000-0000-00006D020000}"/>
    <cellStyle name="Euro 3 4 2" xfId="816" xr:uid="{00000000-0005-0000-0000-00006E020000}"/>
    <cellStyle name="Euro 3 4 2 2" xfId="2201" xr:uid="{00000000-0005-0000-0000-00006F020000}"/>
    <cellStyle name="Euro 3 4 3" xfId="2200" xr:uid="{00000000-0005-0000-0000-000070020000}"/>
    <cellStyle name="Euro 3 5" xfId="817" xr:uid="{00000000-0005-0000-0000-000071020000}"/>
    <cellStyle name="Euro 30" xfId="63" xr:uid="{00000000-0005-0000-0000-000072020000}"/>
    <cellStyle name="Euro 30 2" xfId="468" xr:uid="{00000000-0005-0000-0000-000073020000}"/>
    <cellStyle name="Euro 30 2 2" xfId="2202" xr:uid="{00000000-0005-0000-0000-000074020000}"/>
    <cellStyle name="Euro 30 3" xfId="818" xr:uid="{00000000-0005-0000-0000-000075020000}"/>
    <cellStyle name="Euro 30 3 2" xfId="819" xr:uid="{00000000-0005-0000-0000-000076020000}"/>
    <cellStyle name="Euro 30 3 2 2" xfId="3350" xr:uid="{00000000-0005-0000-0000-000077020000}"/>
    <cellStyle name="Euro 30 3 2 3" xfId="4521" xr:uid="{00000000-0005-0000-0000-000078020000}"/>
    <cellStyle name="Euro 30 3 3" xfId="820" xr:uid="{00000000-0005-0000-0000-000079020000}"/>
    <cellStyle name="Euro 30 3 3 2" xfId="2204" xr:uid="{00000000-0005-0000-0000-00007A020000}"/>
    <cellStyle name="Euro 30 3 4" xfId="2203" xr:uid="{00000000-0005-0000-0000-00007B020000}"/>
    <cellStyle name="Euro 30 4" xfId="821" xr:uid="{00000000-0005-0000-0000-00007C020000}"/>
    <cellStyle name="Euro 30 4 2" xfId="822" xr:uid="{00000000-0005-0000-0000-00007D020000}"/>
    <cellStyle name="Euro 30 4 2 2" xfId="2206" xr:uid="{00000000-0005-0000-0000-00007E020000}"/>
    <cellStyle name="Euro 30 4 3" xfId="2205" xr:uid="{00000000-0005-0000-0000-00007F020000}"/>
    <cellStyle name="Euro 30 5" xfId="823" xr:uid="{00000000-0005-0000-0000-000080020000}"/>
    <cellStyle name="Euro 31" xfId="64" xr:uid="{00000000-0005-0000-0000-000081020000}"/>
    <cellStyle name="Euro 31 2" xfId="469" xr:uid="{00000000-0005-0000-0000-000082020000}"/>
    <cellStyle name="Euro 31 2 2" xfId="2207" xr:uid="{00000000-0005-0000-0000-000083020000}"/>
    <cellStyle name="Euro 31 3" xfId="824" xr:uid="{00000000-0005-0000-0000-000084020000}"/>
    <cellStyle name="Euro 31 3 2" xfId="825" xr:uid="{00000000-0005-0000-0000-000085020000}"/>
    <cellStyle name="Euro 31 3 2 2" xfId="3351" xr:uid="{00000000-0005-0000-0000-000086020000}"/>
    <cellStyle name="Euro 31 3 2 3" xfId="4522" xr:uid="{00000000-0005-0000-0000-000087020000}"/>
    <cellStyle name="Euro 31 3 3" xfId="826" xr:uid="{00000000-0005-0000-0000-000088020000}"/>
    <cellStyle name="Euro 31 3 3 2" xfId="2209" xr:uid="{00000000-0005-0000-0000-000089020000}"/>
    <cellStyle name="Euro 31 3 4" xfId="2208" xr:uid="{00000000-0005-0000-0000-00008A020000}"/>
    <cellStyle name="Euro 31 4" xfId="827" xr:uid="{00000000-0005-0000-0000-00008B020000}"/>
    <cellStyle name="Euro 31 4 2" xfId="828" xr:uid="{00000000-0005-0000-0000-00008C020000}"/>
    <cellStyle name="Euro 31 4 2 2" xfId="2211" xr:uid="{00000000-0005-0000-0000-00008D020000}"/>
    <cellStyle name="Euro 31 4 3" xfId="2210" xr:uid="{00000000-0005-0000-0000-00008E020000}"/>
    <cellStyle name="Euro 31 5" xfId="829" xr:uid="{00000000-0005-0000-0000-00008F020000}"/>
    <cellStyle name="Euro 32" xfId="65" xr:uid="{00000000-0005-0000-0000-000090020000}"/>
    <cellStyle name="Euro 32 2" xfId="470" xr:uid="{00000000-0005-0000-0000-000091020000}"/>
    <cellStyle name="Euro 32 2 2" xfId="2212" xr:uid="{00000000-0005-0000-0000-000092020000}"/>
    <cellStyle name="Euro 32 3" xfId="830" xr:uid="{00000000-0005-0000-0000-000093020000}"/>
    <cellStyle name="Euro 32 3 2" xfId="831" xr:uid="{00000000-0005-0000-0000-000094020000}"/>
    <cellStyle name="Euro 32 3 2 2" xfId="3352" xr:uid="{00000000-0005-0000-0000-000095020000}"/>
    <cellStyle name="Euro 32 3 2 3" xfId="4523" xr:uid="{00000000-0005-0000-0000-000096020000}"/>
    <cellStyle name="Euro 32 3 3" xfId="832" xr:uid="{00000000-0005-0000-0000-000097020000}"/>
    <cellStyle name="Euro 32 3 3 2" xfId="2214" xr:uid="{00000000-0005-0000-0000-000098020000}"/>
    <cellStyle name="Euro 32 3 4" xfId="2213" xr:uid="{00000000-0005-0000-0000-000099020000}"/>
    <cellStyle name="Euro 32 4" xfId="833" xr:uid="{00000000-0005-0000-0000-00009A020000}"/>
    <cellStyle name="Euro 32 4 2" xfId="834" xr:uid="{00000000-0005-0000-0000-00009B020000}"/>
    <cellStyle name="Euro 32 4 2 2" xfId="2216" xr:uid="{00000000-0005-0000-0000-00009C020000}"/>
    <cellStyle name="Euro 32 4 3" xfId="2215" xr:uid="{00000000-0005-0000-0000-00009D020000}"/>
    <cellStyle name="Euro 32 5" xfId="835" xr:uid="{00000000-0005-0000-0000-00009E020000}"/>
    <cellStyle name="Euro 33" xfId="66" xr:uid="{00000000-0005-0000-0000-00009F020000}"/>
    <cellStyle name="Euro 33 2" xfId="471" xr:uid="{00000000-0005-0000-0000-0000A0020000}"/>
    <cellStyle name="Euro 33 2 2" xfId="2217" xr:uid="{00000000-0005-0000-0000-0000A1020000}"/>
    <cellStyle name="Euro 33 3" xfId="836" xr:uid="{00000000-0005-0000-0000-0000A2020000}"/>
    <cellStyle name="Euro 33 3 2" xfId="837" xr:uid="{00000000-0005-0000-0000-0000A3020000}"/>
    <cellStyle name="Euro 33 3 2 2" xfId="3353" xr:uid="{00000000-0005-0000-0000-0000A4020000}"/>
    <cellStyle name="Euro 33 3 2 3" xfId="4524" xr:uid="{00000000-0005-0000-0000-0000A5020000}"/>
    <cellStyle name="Euro 33 3 3" xfId="838" xr:uid="{00000000-0005-0000-0000-0000A6020000}"/>
    <cellStyle name="Euro 33 3 3 2" xfId="2219" xr:uid="{00000000-0005-0000-0000-0000A7020000}"/>
    <cellStyle name="Euro 33 3 4" xfId="2218" xr:uid="{00000000-0005-0000-0000-0000A8020000}"/>
    <cellStyle name="Euro 33 4" xfId="839" xr:uid="{00000000-0005-0000-0000-0000A9020000}"/>
    <cellStyle name="Euro 33 4 2" xfId="840" xr:uid="{00000000-0005-0000-0000-0000AA020000}"/>
    <cellStyle name="Euro 33 4 2 2" xfId="2221" xr:uid="{00000000-0005-0000-0000-0000AB020000}"/>
    <cellStyle name="Euro 33 4 3" xfId="2220" xr:uid="{00000000-0005-0000-0000-0000AC020000}"/>
    <cellStyle name="Euro 33 5" xfId="841" xr:uid="{00000000-0005-0000-0000-0000AD020000}"/>
    <cellStyle name="Euro 34" xfId="67" xr:uid="{00000000-0005-0000-0000-0000AE020000}"/>
    <cellStyle name="Euro 34 2" xfId="472" xr:uid="{00000000-0005-0000-0000-0000AF020000}"/>
    <cellStyle name="Euro 34 2 2" xfId="2222" xr:uid="{00000000-0005-0000-0000-0000B0020000}"/>
    <cellStyle name="Euro 34 3" xfId="842" xr:uid="{00000000-0005-0000-0000-0000B1020000}"/>
    <cellStyle name="Euro 34 3 2" xfId="843" xr:uid="{00000000-0005-0000-0000-0000B2020000}"/>
    <cellStyle name="Euro 34 3 2 2" xfId="3354" xr:uid="{00000000-0005-0000-0000-0000B3020000}"/>
    <cellStyle name="Euro 34 3 2 3" xfId="4525" xr:uid="{00000000-0005-0000-0000-0000B4020000}"/>
    <cellStyle name="Euro 34 3 3" xfId="844" xr:uid="{00000000-0005-0000-0000-0000B5020000}"/>
    <cellStyle name="Euro 34 3 3 2" xfId="2224" xr:uid="{00000000-0005-0000-0000-0000B6020000}"/>
    <cellStyle name="Euro 34 3 4" xfId="2223" xr:uid="{00000000-0005-0000-0000-0000B7020000}"/>
    <cellStyle name="Euro 34 4" xfId="845" xr:uid="{00000000-0005-0000-0000-0000B8020000}"/>
    <cellStyle name="Euro 34 4 2" xfId="846" xr:uid="{00000000-0005-0000-0000-0000B9020000}"/>
    <cellStyle name="Euro 34 4 2 2" xfId="2226" xr:uid="{00000000-0005-0000-0000-0000BA020000}"/>
    <cellStyle name="Euro 34 4 3" xfId="2225" xr:uid="{00000000-0005-0000-0000-0000BB020000}"/>
    <cellStyle name="Euro 34 5" xfId="847" xr:uid="{00000000-0005-0000-0000-0000BC020000}"/>
    <cellStyle name="Euro 35" xfId="68" xr:uid="{00000000-0005-0000-0000-0000BD020000}"/>
    <cellStyle name="Euro 35 2" xfId="473" xr:uid="{00000000-0005-0000-0000-0000BE020000}"/>
    <cellStyle name="Euro 35 2 2" xfId="2227" xr:uid="{00000000-0005-0000-0000-0000BF020000}"/>
    <cellStyle name="Euro 35 3" xfId="848" xr:uid="{00000000-0005-0000-0000-0000C0020000}"/>
    <cellStyle name="Euro 35 3 2" xfId="849" xr:uid="{00000000-0005-0000-0000-0000C1020000}"/>
    <cellStyle name="Euro 35 3 2 2" xfId="3355" xr:uid="{00000000-0005-0000-0000-0000C2020000}"/>
    <cellStyle name="Euro 35 3 2 3" xfId="4526" xr:uid="{00000000-0005-0000-0000-0000C3020000}"/>
    <cellStyle name="Euro 35 3 3" xfId="850" xr:uid="{00000000-0005-0000-0000-0000C4020000}"/>
    <cellStyle name="Euro 35 3 3 2" xfId="2229" xr:uid="{00000000-0005-0000-0000-0000C5020000}"/>
    <cellStyle name="Euro 35 3 4" xfId="2228" xr:uid="{00000000-0005-0000-0000-0000C6020000}"/>
    <cellStyle name="Euro 35 4" xfId="851" xr:uid="{00000000-0005-0000-0000-0000C7020000}"/>
    <cellStyle name="Euro 35 4 2" xfId="852" xr:uid="{00000000-0005-0000-0000-0000C8020000}"/>
    <cellStyle name="Euro 35 4 2 2" xfId="2231" xr:uid="{00000000-0005-0000-0000-0000C9020000}"/>
    <cellStyle name="Euro 35 4 3" xfId="2230" xr:uid="{00000000-0005-0000-0000-0000CA020000}"/>
    <cellStyle name="Euro 35 5" xfId="853" xr:uid="{00000000-0005-0000-0000-0000CB020000}"/>
    <cellStyle name="Euro 36" xfId="69" xr:uid="{00000000-0005-0000-0000-0000CC020000}"/>
    <cellStyle name="Euro 36 2" xfId="474" xr:uid="{00000000-0005-0000-0000-0000CD020000}"/>
    <cellStyle name="Euro 36 2 2" xfId="2232" xr:uid="{00000000-0005-0000-0000-0000CE020000}"/>
    <cellStyle name="Euro 36 3" xfId="854" xr:uid="{00000000-0005-0000-0000-0000CF020000}"/>
    <cellStyle name="Euro 36 3 2" xfId="855" xr:uid="{00000000-0005-0000-0000-0000D0020000}"/>
    <cellStyle name="Euro 36 3 2 2" xfId="3356" xr:uid="{00000000-0005-0000-0000-0000D1020000}"/>
    <cellStyle name="Euro 36 3 2 3" xfId="4527" xr:uid="{00000000-0005-0000-0000-0000D2020000}"/>
    <cellStyle name="Euro 36 3 3" xfId="856" xr:uid="{00000000-0005-0000-0000-0000D3020000}"/>
    <cellStyle name="Euro 36 3 3 2" xfId="2234" xr:uid="{00000000-0005-0000-0000-0000D4020000}"/>
    <cellStyle name="Euro 36 3 4" xfId="2233" xr:uid="{00000000-0005-0000-0000-0000D5020000}"/>
    <cellStyle name="Euro 36 4" xfId="857" xr:uid="{00000000-0005-0000-0000-0000D6020000}"/>
    <cellStyle name="Euro 36 4 2" xfId="858" xr:uid="{00000000-0005-0000-0000-0000D7020000}"/>
    <cellStyle name="Euro 36 4 2 2" xfId="2236" xr:uid="{00000000-0005-0000-0000-0000D8020000}"/>
    <cellStyle name="Euro 36 4 3" xfId="2235" xr:uid="{00000000-0005-0000-0000-0000D9020000}"/>
    <cellStyle name="Euro 36 5" xfId="859" xr:uid="{00000000-0005-0000-0000-0000DA020000}"/>
    <cellStyle name="Euro 37" xfId="70" xr:uid="{00000000-0005-0000-0000-0000DB020000}"/>
    <cellStyle name="Euro 37 2" xfId="475" xr:uid="{00000000-0005-0000-0000-0000DC020000}"/>
    <cellStyle name="Euro 37 2 2" xfId="2237" xr:uid="{00000000-0005-0000-0000-0000DD020000}"/>
    <cellStyle name="Euro 37 3" xfId="860" xr:uid="{00000000-0005-0000-0000-0000DE020000}"/>
    <cellStyle name="Euro 37 3 2" xfId="861" xr:uid="{00000000-0005-0000-0000-0000DF020000}"/>
    <cellStyle name="Euro 37 3 2 2" xfId="3357" xr:uid="{00000000-0005-0000-0000-0000E0020000}"/>
    <cellStyle name="Euro 37 3 2 3" xfId="4528" xr:uid="{00000000-0005-0000-0000-0000E1020000}"/>
    <cellStyle name="Euro 37 3 3" xfId="862" xr:uid="{00000000-0005-0000-0000-0000E2020000}"/>
    <cellStyle name="Euro 37 3 3 2" xfId="2239" xr:uid="{00000000-0005-0000-0000-0000E3020000}"/>
    <cellStyle name="Euro 37 3 4" xfId="2238" xr:uid="{00000000-0005-0000-0000-0000E4020000}"/>
    <cellStyle name="Euro 37 4" xfId="863" xr:uid="{00000000-0005-0000-0000-0000E5020000}"/>
    <cellStyle name="Euro 37 4 2" xfId="864" xr:uid="{00000000-0005-0000-0000-0000E6020000}"/>
    <cellStyle name="Euro 37 4 2 2" xfId="2241" xr:uid="{00000000-0005-0000-0000-0000E7020000}"/>
    <cellStyle name="Euro 37 4 3" xfId="2240" xr:uid="{00000000-0005-0000-0000-0000E8020000}"/>
    <cellStyle name="Euro 37 5" xfId="865" xr:uid="{00000000-0005-0000-0000-0000E9020000}"/>
    <cellStyle name="Euro 38" xfId="71" xr:uid="{00000000-0005-0000-0000-0000EA020000}"/>
    <cellStyle name="Euro 38 2" xfId="476" xr:uid="{00000000-0005-0000-0000-0000EB020000}"/>
    <cellStyle name="Euro 38 2 2" xfId="2242" xr:uid="{00000000-0005-0000-0000-0000EC020000}"/>
    <cellStyle name="Euro 38 3" xfId="866" xr:uid="{00000000-0005-0000-0000-0000ED020000}"/>
    <cellStyle name="Euro 38 3 2" xfId="867" xr:uid="{00000000-0005-0000-0000-0000EE020000}"/>
    <cellStyle name="Euro 38 3 2 2" xfId="3358" xr:uid="{00000000-0005-0000-0000-0000EF020000}"/>
    <cellStyle name="Euro 38 3 2 3" xfId="4529" xr:uid="{00000000-0005-0000-0000-0000F0020000}"/>
    <cellStyle name="Euro 38 3 3" xfId="868" xr:uid="{00000000-0005-0000-0000-0000F1020000}"/>
    <cellStyle name="Euro 38 3 3 2" xfId="2244" xr:uid="{00000000-0005-0000-0000-0000F2020000}"/>
    <cellStyle name="Euro 38 3 4" xfId="2243" xr:uid="{00000000-0005-0000-0000-0000F3020000}"/>
    <cellStyle name="Euro 38 4" xfId="869" xr:uid="{00000000-0005-0000-0000-0000F4020000}"/>
    <cellStyle name="Euro 38 4 2" xfId="870" xr:uid="{00000000-0005-0000-0000-0000F5020000}"/>
    <cellStyle name="Euro 38 4 2 2" xfId="2246" xr:uid="{00000000-0005-0000-0000-0000F6020000}"/>
    <cellStyle name="Euro 38 4 3" xfId="2245" xr:uid="{00000000-0005-0000-0000-0000F7020000}"/>
    <cellStyle name="Euro 38 5" xfId="871" xr:uid="{00000000-0005-0000-0000-0000F8020000}"/>
    <cellStyle name="Euro 39" xfId="72" xr:uid="{00000000-0005-0000-0000-0000F9020000}"/>
    <cellStyle name="Euro 39 2" xfId="477" xr:uid="{00000000-0005-0000-0000-0000FA020000}"/>
    <cellStyle name="Euro 39 2 2" xfId="2247" xr:uid="{00000000-0005-0000-0000-0000FB020000}"/>
    <cellStyle name="Euro 39 3" xfId="872" xr:uid="{00000000-0005-0000-0000-0000FC020000}"/>
    <cellStyle name="Euro 39 3 2" xfId="873" xr:uid="{00000000-0005-0000-0000-0000FD020000}"/>
    <cellStyle name="Euro 39 3 2 2" xfId="3359" xr:uid="{00000000-0005-0000-0000-0000FE020000}"/>
    <cellStyle name="Euro 39 3 2 3" xfId="4530" xr:uid="{00000000-0005-0000-0000-0000FF020000}"/>
    <cellStyle name="Euro 39 3 3" xfId="874" xr:uid="{00000000-0005-0000-0000-000000030000}"/>
    <cellStyle name="Euro 39 3 3 2" xfId="2249" xr:uid="{00000000-0005-0000-0000-000001030000}"/>
    <cellStyle name="Euro 39 3 4" xfId="2248" xr:uid="{00000000-0005-0000-0000-000002030000}"/>
    <cellStyle name="Euro 39 4" xfId="875" xr:uid="{00000000-0005-0000-0000-000003030000}"/>
    <cellStyle name="Euro 39 4 2" xfId="876" xr:uid="{00000000-0005-0000-0000-000004030000}"/>
    <cellStyle name="Euro 39 4 2 2" xfId="2251" xr:uid="{00000000-0005-0000-0000-000005030000}"/>
    <cellStyle name="Euro 39 4 3" xfId="2250" xr:uid="{00000000-0005-0000-0000-000006030000}"/>
    <cellStyle name="Euro 39 5" xfId="877" xr:uid="{00000000-0005-0000-0000-000007030000}"/>
    <cellStyle name="Euro 4" xfId="73" xr:uid="{00000000-0005-0000-0000-000008030000}"/>
    <cellStyle name="Euro 4 2" xfId="478" xr:uid="{00000000-0005-0000-0000-000009030000}"/>
    <cellStyle name="Euro 4 2 2" xfId="2252" xr:uid="{00000000-0005-0000-0000-00000A030000}"/>
    <cellStyle name="Euro 4 3" xfId="878" xr:uid="{00000000-0005-0000-0000-00000B030000}"/>
    <cellStyle name="Euro 4 3 2" xfId="879" xr:uid="{00000000-0005-0000-0000-00000C030000}"/>
    <cellStyle name="Euro 4 3 2 2" xfId="3360" xr:uid="{00000000-0005-0000-0000-00000D030000}"/>
    <cellStyle name="Euro 4 3 2 3" xfId="4531" xr:uid="{00000000-0005-0000-0000-00000E030000}"/>
    <cellStyle name="Euro 4 3 3" xfId="880" xr:uid="{00000000-0005-0000-0000-00000F030000}"/>
    <cellStyle name="Euro 4 3 3 2" xfId="2254" xr:uid="{00000000-0005-0000-0000-000010030000}"/>
    <cellStyle name="Euro 4 3 4" xfId="2253" xr:uid="{00000000-0005-0000-0000-000011030000}"/>
    <cellStyle name="Euro 4 4" xfId="881" xr:uid="{00000000-0005-0000-0000-000012030000}"/>
    <cellStyle name="Euro 4 4 2" xfId="882" xr:uid="{00000000-0005-0000-0000-000013030000}"/>
    <cellStyle name="Euro 4 4 2 2" xfId="2256" xr:uid="{00000000-0005-0000-0000-000014030000}"/>
    <cellStyle name="Euro 4 4 3" xfId="2255" xr:uid="{00000000-0005-0000-0000-000015030000}"/>
    <cellStyle name="Euro 4 5" xfId="883" xr:uid="{00000000-0005-0000-0000-000016030000}"/>
    <cellStyle name="Euro 40" xfId="74" xr:uid="{00000000-0005-0000-0000-000017030000}"/>
    <cellStyle name="Euro 40 2" xfId="479" xr:uid="{00000000-0005-0000-0000-000018030000}"/>
    <cellStyle name="Euro 40 2 2" xfId="2257" xr:uid="{00000000-0005-0000-0000-000019030000}"/>
    <cellStyle name="Euro 40 3" xfId="884" xr:uid="{00000000-0005-0000-0000-00001A030000}"/>
    <cellStyle name="Euro 40 3 2" xfId="885" xr:uid="{00000000-0005-0000-0000-00001B030000}"/>
    <cellStyle name="Euro 40 3 2 2" xfId="3361" xr:uid="{00000000-0005-0000-0000-00001C030000}"/>
    <cellStyle name="Euro 40 3 2 3" xfId="4532" xr:uid="{00000000-0005-0000-0000-00001D030000}"/>
    <cellStyle name="Euro 40 3 3" xfId="886" xr:uid="{00000000-0005-0000-0000-00001E030000}"/>
    <cellStyle name="Euro 40 3 3 2" xfId="2259" xr:uid="{00000000-0005-0000-0000-00001F030000}"/>
    <cellStyle name="Euro 40 3 4" xfId="2258" xr:uid="{00000000-0005-0000-0000-000020030000}"/>
    <cellStyle name="Euro 40 4" xfId="887" xr:uid="{00000000-0005-0000-0000-000021030000}"/>
    <cellStyle name="Euro 40 4 2" xfId="888" xr:uid="{00000000-0005-0000-0000-000022030000}"/>
    <cellStyle name="Euro 40 4 2 2" xfId="2261" xr:uid="{00000000-0005-0000-0000-000023030000}"/>
    <cellStyle name="Euro 40 4 3" xfId="2260" xr:uid="{00000000-0005-0000-0000-000024030000}"/>
    <cellStyle name="Euro 40 5" xfId="889" xr:uid="{00000000-0005-0000-0000-000025030000}"/>
    <cellStyle name="Euro 41" xfId="75" xr:uid="{00000000-0005-0000-0000-000026030000}"/>
    <cellStyle name="Euro 41 2" xfId="480" xr:uid="{00000000-0005-0000-0000-000027030000}"/>
    <cellStyle name="Euro 41 2 2" xfId="2262" xr:uid="{00000000-0005-0000-0000-000028030000}"/>
    <cellStyle name="Euro 41 3" xfId="890" xr:uid="{00000000-0005-0000-0000-000029030000}"/>
    <cellStyle name="Euro 41 3 2" xfId="891" xr:uid="{00000000-0005-0000-0000-00002A030000}"/>
    <cellStyle name="Euro 41 3 2 2" xfId="3362" xr:uid="{00000000-0005-0000-0000-00002B030000}"/>
    <cellStyle name="Euro 41 3 2 3" xfId="4533" xr:uid="{00000000-0005-0000-0000-00002C030000}"/>
    <cellStyle name="Euro 41 3 3" xfId="892" xr:uid="{00000000-0005-0000-0000-00002D030000}"/>
    <cellStyle name="Euro 41 3 3 2" xfId="2264" xr:uid="{00000000-0005-0000-0000-00002E030000}"/>
    <cellStyle name="Euro 41 3 4" xfId="2263" xr:uid="{00000000-0005-0000-0000-00002F030000}"/>
    <cellStyle name="Euro 41 4" xfId="893" xr:uid="{00000000-0005-0000-0000-000030030000}"/>
    <cellStyle name="Euro 41 4 2" xfId="894" xr:uid="{00000000-0005-0000-0000-000031030000}"/>
    <cellStyle name="Euro 41 4 2 2" xfId="2266" xr:uid="{00000000-0005-0000-0000-000032030000}"/>
    <cellStyle name="Euro 41 4 3" xfId="2265" xr:uid="{00000000-0005-0000-0000-000033030000}"/>
    <cellStyle name="Euro 41 5" xfId="895" xr:uid="{00000000-0005-0000-0000-000034030000}"/>
    <cellStyle name="Euro 42" xfId="76" xr:uid="{00000000-0005-0000-0000-000035030000}"/>
    <cellStyle name="Euro 42 2" xfId="481" xr:uid="{00000000-0005-0000-0000-000036030000}"/>
    <cellStyle name="Euro 42 2 2" xfId="2267" xr:uid="{00000000-0005-0000-0000-000037030000}"/>
    <cellStyle name="Euro 42 3" xfId="896" xr:uid="{00000000-0005-0000-0000-000038030000}"/>
    <cellStyle name="Euro 42 3 2" xfId="897" xr:uid="{00000000-0005-0000-0000-000039030000}"/>
    <cellStyle name="Euro 42 3 2 2" xfId="3363" xr:uid="{00000000-0005-0000-0000-00003A030000}"/>
    <cellStyle name="Euro 42 3 2 3" xfId="4534" xr:uid="{00000000-0005-0000-0000-00003B030000}"/>
    <cellStyle name="Euro 42 3 3" xfId="898" xr:uid="{00000000-0005-0000-0000-00003C030000}"/>
    <cellStyle name="Euro 42 3 3 2" xfId="2269" xr:uid="{00000000-0005-0000-0000-00003D030000}"/>
    <cellStyle name="Euro 42 3 4" xfId="2268" xr:uid="{00000000-0005-0000-0000-00003E030000}"/>
    <cellStyle name="Euro 42 4" xfId="899" xr:uid="{00000000-0005-0000-0000-00003F030000}"/>
    <cellStyle name="Euro 42 4 2" xfId="900" xr:uid="{00000000-0005-0000-0000-000040030000}"/>
    <cellStyle name="Euro 42 4 2 2" xfId="2271" xr:uid="{00000000-0005-0000-0000-000041030000}"/>
    <cellStyle name="Euro 42 4 3" xfId="2270" xr:uid="{00000000-0005-0000-0000-000042030000}"/>
    <cellStyle name="Euro 42 5" xfId="901" xr:uid="{00000000-0005-0000-0000-000043030000}"/>
    <cellStyle name="Euro 43" xfId="77" xr:uid="{00000000-0005-0000-0000-000044030000}"/>
    <cellStyle name="Euro 43 2" xfId="482" xr:uid="{00000000-0005-0000-0000-000045030000}"/>
    <cellStyle name="Euro 43 2 2" xfId="2272" xr:uid="{00000000-0005-0000-0000-000046030000}"/>
    <cellStyle name="Euro 43 3" xfId="902" xr:uid="{00000000-0005-0000-0000-000047030000}"/>
    <cellStyle name="Euro 43 3 2" xfId="903" xr:uid="{00000000-0005-0000-0000-000048030000}"/>
    <cellStyle name="Euro 43 3 2 2" xfId="3364" xr:uid="{00000000-0005-0000-0000-000049030000}"/>
    <cellStyle name="Euro 43 3 2 3" xfId="4535" xr:uid="{00000000-0005-0000-0000-00004A030000}"/>
    <cellStyle name="Euro 43 3 3" xfId="904" xr:uid="{00000000-0005-0000-0000-00004B030000}"/>
    <cellStyle name="Euro 43 3 3 2" xfId="2274" xr:uid="{00000000-0005-0000-0000-00004C030000}"/>
    <cellStyle name="Euro 43 3 4" xfId="2273" xr:uid="{00000000-0005-0000-0000-00004D030000}"/>
    <cellStyle name="Euro 43 4" xfId="905" xr:uid="{00000000-0005-0000-0000-00004E030000}"/>
    <cellStyle name="Euro 43 4 2" xfId="906" xr:uid="{00000000-0005-0000-0000-00004F030000}"/>
    <cellStyle name="Euro 43 4 2 2" xfId="2276" xr:uid="{00000000-0005-0000-0000-000050030000}"/>
    <cellStyle name="Euro 43 4 3" xfId="2275" xr:uid="{00000000-0005-0000-0000-000051030000}"/>
    <cellStyle name="Euro 43 5" xfId="907" xr:uid="{00000000-0005-0000-0000-000052030000}"/>
    <cellStyle name="Euro 44" xfId="78" xr:uid="{00000000-0005-0000-0000-000053030000}"/>
    <cellStyle name="Euro 44 2" xfId="483" xr:uid="{00000000-0005-0000-0000-000054030000}"/>
    <cellStyle name="Euro 44 2 2" xfId="2277" xr:uid="{00000000-0005-0000-0000-000055030000}"/>
    <cellStyle name="Euro 44 3" xfId="908" xr:uid="{00000000-0005-0000-0000-000056030000}"/>
    <cellStyle name="Euro 44 3 2" xfId="909" xr:uid="{00000000-0005-0000-0000-000057030000}"/>
    <cellStyle name="Euro 44 3 2 2" xfId="3365" xr:uid="{00000000-0005-0000-0000-000058030000}"/>
    <cellStyle name="Euro 44 3 2 3" xfId="4536" xr:uid="{00000000-0005-0000-0000-000059030000}"/>
    <cellStyle name="Euro 44 3 3" xfId="910" xr:uid="{00000000-0005-0000-0000-00005A030000}"/>
    <cellStyle name="Euro 44 3 3 2" xfId="2279" xr:uid="{00000000-0005-0000-0000-00005B030000}"/>
    <cellStyle name="Euro 44 3 4" xfId="2278" xr:uid="{00000000-0005-0000-0000-00005C030000}"/>
    <cellStyle name="Euro 44 4" xfId="911" xr:uid="{00000000-0005-0000-0000-00005D030000}"/>
    <cellStyle name="Euro 44 4 2" xfId="912" xr:uid="{00000000-0005-0000-0000-00005E030000}"/>
    <cellStyle name="Euro 44 4 2 2" xfId="2281" xr:uid="{00000000-0005-0000-0000-00005F030000}"/>
    <cellStyle name="Euro 44 4 3" xfId="2280" xr:uid="{00000000-0005-0000-0000-000060030000}"/>
    <cellStyle name="Euro 44 5" xfId="913" xr:uid="{00000000-0005-0000-0000-000061030000}"/>
    <cellStyle name="Euro 45" xfId="445" xr:uid="{00000000-0005-0000-0000-000062030000}"/>
    <cellStyle name="Euro 45 2" xfId="915" xr:uid="{00000000-0005-0000-0000-000063030000}"/>
    <cellStyle name="Euro 45 2 2" xfId="2283" xr:uid="{00000000-0005-0000-0000-000064030000}"/>
    <cellStyle name="Euro 45 2 3" xfId="3366" xr:uid="{00000000-0005-0000-0000-000065030000}"/>
    <cellStyle name="Euro 45 2 4" xfId="4538" xr:uid="{00000000-0005-0000-0000-000066030000}"/>
    <cellStyle name="Euro 45 3" xfId="2282" xr:uid="{00000000-0005-0000-0000-000067030000}"/>
    <cellStyle name="Euro 45 4" xfId="914" xr:uid="{00000000-0005-0000-0000-000068030000}"/>
    <cellStyle name="Euro 45 5" xfId="3367" xr:uid="{00000000-0005-0000-0000-000069030000}"/>
    <cellStyle name="Euro 45 6" xfId="4537" xr:uid="{00000000-0005-0000-0000-00006A030000}"/>
    <cellStyle name="Euro 46" xfId="916" xr:uid="{00000000-0005-0000-0000-00006B030000}"/>
    <cellStyle name="Euro 46 2" xfId="2284" xr:uid="{00000000-0005-0000-0000-00006C030000}"/>
    <cellStyle name="Euro 47" xfId="917" xr:uid="{00000000-0005-0000-0000-00006D030000}"/>
    <cellStyle name="Euro 47 2" xfId="918" xr:uid="{00000000-0005-0000-0000-00006E030000}"/>
    <cellStyle name="Euro 47 2 2" xfId="3368" xr:uid="{00000000-0005-0000-0000-00006F030000}"/>
    <cellStyle name="Euro 47 2 3" xfId="4539" xr:uid="{00000000-0005-0000-0000-000070030000}"/>
    <cellStyle name="Euro 47 3" xfId="919" xr:uid="{00000000-0005-0000-0000-000071030000}"/>
    <cellStyle name="Euro 47 3 2" xfId="2286" xr:uid="{00000000-0005-0000-0000-000072030000}"/>
    <cellStyle name="Euro 47 4" xfId="2285" xr:uid="{00000000-0005-0000-0000-000073030000}"/>
    <cellStyle name="Euro 48" xfId="920" xr:uid="{00000000-0005-0000-0000-000074030000}"/>
    <cellStyle name="Euro 48 2" xfId="2287" xr:uid="{00000000-0005-0000-0000-000075030000}"/>
    <cellStyle name="Euro 49" xfId="921" xr:uid="{00000000-0005-0000-0000-000076030000}"/>
    <cellStyle name="Euro 49 2" xfId="922" xr:uid="{00000000-0005-0000-0000-000077030000}"/>
    <cellStyle name="Euro 49 2 2" xfId="2289" xr:uid="{00000000-0005-0000-0000-000078030000}"/>
    <cellStyle name="Euro 49 3" xfId="2288" xr:uid="{00000000-0005-0000-0000-000079030000}"/>
    <cellStyle name="Euro 5" xfId="79" xr:uid="{00000000-0005-0000-0000-00007A030000}"/>
    <cellStyle name="Euro 5 2" xfId="484" xr:uid="{00000000-0005-0000-0000-00007B030000}"/>
    <cellStyle name="Euro 5 2 2" xfId="2290" xr:uid="{00000000-0005-0000-0000-00007C030000}"/>
    <cellStyle name="Euro 5 3" xfId="923" xr:uid="{00000000-0005-0000-0000-00007D030000}"/>
    <cellStyle name="Euro 5 3 2" xfId="924" xr:uid="{00000000-0005-0000-0000-00007E030000}"/>
    <cellStyle name="Euro 5 3 2 2" xfId="3369" xr:uid="{00000000-0005-0000-0000-00007F030000}"/>
    <cellStyle name="Euro 5 3 2 3" xfId="4540" xr:uid="{00000000-0005-0000-0000-000080030000}"/>
    <cellStyle name="Euro 5 3 3" xfId="925" xr:uid="{00000000-0005-0000-0000-000081030000}"/>
    <cellStyle name="Euro 5 3 3 2" xfId="2292" xr:uid="{00000000-0005-0000-0000-000082030000}"/>
    <cellStyle name="Euro 5 3 4" xfId="2291" xr:uid="{00000000-0005-0000-0000-000083030000}"/>
    <cellStyle name="Euro 5 4" xfId="926" xr:uid="{00000000-0005-0000-0000-000084030000}"/>
    <cellStyle name="Euro 5 4 2" xfId="927" xr:uid="{00000000-0005-0000-0000-000085030000}"/>
    <cellStyle name="Euro 5 4 2 2" xfId="2294" xr:uid="{00000000-0005-0000-0000-000086030000}"/>
    <cellStyle name="Euro 5 4 3" xfId="2293" xr:uid="{00000000-0005-0000-0000-000087030000}"/>
    <cellStyle name="Euro 5 5" xfId="928" xr:uid="{00000000-0005-0000-0000-000088030000}"/>
    <cellStyle name="Euro 50" xfId="929" xr:uid="{00000000-0005-0000-0000-000089030000}"/>
    <cellStyle name="Euro 51" xfId="930" xr:uid="{00000000-0005-0000-0000-00008A030000}"/>
    <cellStyle name="Euro 51 2" xfId="2295" xr:uid="{00000000-0005-0000-0000-00008B030000}"/>
    <cellStyle name="Euro 6" xfId="80" xr:uid="{00000000-0005-0000-0000-00008C030000}"/>
    <cellStyle name="Euro 6 2" xfId="485" xr:uid="{00000000-0005-0000-0000-00008D030000}"/>
    <cellStyle name="Euro 6 2 2" xfId="2296" xr:uid="{00000000-0005-0000-0000-00008E030000}"/>
    <cellStyle name="Euro 6 3" xfId="931" xr:uid="{00000000-0005-0000-0000-00008F030000}"/>
    <cellStyle name="Euro 6 3 2" xfId="932" xr:uid="{00000000-0005-0000-0000-000090030000}"/>
    <cellStyle name="Euro 6 3 2 2" xfId="3370" xr:uid="{00000000-0005-0000-0000-000091030000}"/>
    <cellStyle name="Euro 6 3 2 3" xfId="4541" xr:uid="{00000000-0005-0000-0000-000092030000}"/>
    <cellStyle name="Euro 6 3 3" xfId="933" xr:uid="{00000000-0005-0000-0000-000093030000}"/>
    <cellStyle name="Euro 6 3 3 2" xfId="2298" xr:uid="{00000000-0005-0000-0000-000094030000}"/>
    <cellStyle name="Euro 6 3 4" xfId="2297" xr:uid="{00000000-0005-0000-0000-000095030000}"/>
    <cellStyle name="Euro 6 4" xfId="934" xr:uid="{00000000-0005-0000-0000-000096030000}"/>
    <cellStyle name="Euro 6 4 2" xfId="935" xr:uid="{00000000-0005-0000-0000-000097030000}"/>
    <cellStyle name="Euro 6 4 2 2" xfId="2300" xr:uid="{00000000-0005-0000-0000-000098030000}"/>
    <cellStyle name="Euro 6 4 3" xfId="2299" xr:uid="{00000000-0005-0000-0000-000099030000}"/>
    <cellStyle name="Euro 6 5" xfId="936" xr:uid="{00000000-0005-0000-0000-00009A030000}"/>
    <cellStyle name="Euro 7" xfId="81" xr:uid="{00000000-0005-0000-0000-00009B030000}"/>
    <cellStyle name="Euro 7 2" xfId="486" xr:uid="{00000000-0005-0000-0000-00009C030000}"/>
    <cellStyle name="Euro 7 2 2" xfId="2301" xr:uid="{00000000-0005-0000-0000-00009D030000}"/>
    <cellStyle name="Euro 7 3" xfId="937" xr:uid="{00000000-0005-0000-0000-00009E030000}"/>
    <cellStyle name="Euro 7 3 2" xfId="938" xr:uid="{00000000-0005-0000-0000-00009F030000}"/>
    <cellStyle name="Euro 7 3 2 2" xfId="3371" xr:uid="{00000000-0005-0000-0000-0000A0030000}"/>
    <cellStyle name="Euro 7 3 2 3" xfId="4542" xr:uid="{00000000-0005-0000-0000-0000A1030000}"/>
    <cellStyle name="Euro 7 3 3" xfId="939" xr:uid="{00000000-0005-0000-0000-0000A2030000}"/>
    <cellStyle name="Euro 7 3 3 2" xfId="2303" xr:uid="{00000000-0005-0000-0000-0000A3030000}"/>
    <cellStyle name="Euro 7 3 4" xfId="2302" xr:uid="{00000000-0005-0000-0000-0000A4030000}"/>
    <cellStyle name="Euro 7 4" xfId="940" xr:uid="{00000000-0005-0000-0000-0000A5030000}"/>
    <cellStyle name="Euro 7 4 2" xfId="941" xr:uid="{00000000-0005-0000-0000-0000A6030000}"/>
    <cellStyle name="Euro 7 4 2 2" xfId="2305" xr:uid="{00000000-0005-0000-0000-0000A7030000}"/>
    <cellStyle name="Euro 7 4 3" xfId="2304" xr:uid="{00000000-0005-0000-0000-0000A8030000}"/>
    <cellStyle name="Euro 7 5" xfId="942" xr:uid="{00000000-0005-0000-0000-0000A9030000}"/>
    <cellStyle name="Euro 8" xfId="82" xr:uid="{00000000-0005-0000-0000-0000AA030000}"/>
    <cellStyle name="Euro 8 2" xfId="487" xr:uid="{00000000-0005-0000-0000-0000AB030000}"/>
    <cellStyle name="Euro 8 2 2" xfId="2306" xr:uid="{00000000-0005-0000-0000-0000AC030000}"/>
    <cellStyle name="Euro 8 3" xfId="943" xr:uid="{00000000-0005-0000-0000-0000AD030000}"/>
    <cellStyle name="Euro 8 3 2" xfId="944" xr:uid="{00000000-0005-0000-0000-0000AE030000}"/>
    <cellStyle name="Euro 8 3 2 2" xfId="3372" xr:uid="{00000000-0005-0000-0000-0000AF030000}"/>
    <cellStyle name="Euro 8 3 2 3" xfId="4543" xr:uid="{00000000-0005-0000-0000-0000B0030000}"/>
    <cellStyle name="Euro 8 3 3" xfId="945" xr:uid="{00000000-0005-0000-0000-0000B1030000}"/>
    <cellStyle name="Euro 8 3 3 2" xfId="2308" xr:uid="{00000000-0005-0000-0000-0000B2030000}"/>
    <cellStyle name="Euro 8 3 4" xfId="2307" xr:uid="{00000000-0005-0000-0000-0000B3030000}"/>
    <cellStyle name="Euro 8 4" xfId="946" xr:uid="{00000000-0005-0000-0000-0000B4030000}"/>
    <cellStyle name="Euro 8 4 2" xfId="947" xr:uid="{00000000-0005-0000-0000-0000B5030000}"/>
    <cellStyle name="Euro 8 4 2 2" xfId="2310" xr:uid="{00000000-0005-0000-0000-0000B6030000}"/>
    <cellStyle name="Euro 8 4 3" xfId="2309" xr:uid="{00000000-0005-0000-0000-0000B7030000}"/>
    <cellStyle name="Euro 8 5" xfId="948" xr:uid="{00000000-0005-0000-0000-0000B8030000}"/>
    <cellStyle name="Euro 9" xfId="83" xr:uid="{00000000-0005-0000-0000-0000B9030000}"/>
    <cellStyle name="Euro 9 2" xfId="488" xr:uid="{00000000-0005-0000-0000-0000BA030000}"/>
    <cellStyle name="Euro 9 2 2" xfId="2311" xr:uid="{00000000-0005-0000-0000-0000BB030000}"/>
    <cellStyle name="Euro 9 3" xfId="949" xr:uid="{00000000-0005-0000-0000-0000BC030000}"/>
    <cellStyle name="Euro 9 3 2" xfId="950" xr:uid="{00000000-0005-0000-0000-0000BD030000}"/>
    <cellStyle name="Euro 9 3 2 2" xfId="3373" xr:uid="{00000000-0005-0000-0000-0000BE030000}"/>
    <cellStyle name="Euro 9 3 2 3" xfId="4544" xr:uid="{00000000-0005-0000-0000-0000BF030000}"/>
    <cellStyle name="Euro 9 3 3" xfId="951" xr:uid="{00000000-0005-0000-0000-0000C0030000}"/>
    <cellStyle name="Euro 9 3 3 2" xfId="2313" xr:uid="{00000000-0005-0000-0000-0000C1030000}"/>
    <cellStyle name="Euro 9 3 4" xfId="2312" xr:uid="{00000000-0005-0000-0000-0000C2030000}"/>
    <cellStyle name="Euro 9 4" xfId="952" xr:uid="{00000000-0005-0000-0000-0000C3030000}"/>
    <cellStyle name="Euro 9 4 2" xfId="953" xr:uid="{00000000-0005-0000-0000-0000C4030000}"/>
    <cellStyle name="Euro 9 4 2 2" xfId="2315" xr:uid="{00000000-0005-0000-0000-0000C5030000}"/>
    <cellStyle name="Euro 9 4 3" xfId="2314" xr:uid="{00000000-0005-0000-0000-0000C6030000}"/>
    <cellStyle name="Euro 9 5" xfId="954" xr:uid="{00000000-0005-0000-0000-0000C7030000}"/>
    <cellStyle name="Fixed2 - Type2" xfId="7" xr:uid="{00000000-0005-0000-0000-0000C8030000}"/>
    <cellStyle name="Followed Hyperlink" xfId="4491" builtinId="9" hidden="1"/>
    <cellStyle name="Good 2" xfId="3374" xr:uid="{00000000-0005-0000-0000-0000CA030000}"/>
    <cellStyle name="Hyperlink" xfId="4490" builtinId="8" hidden="1"/>
    <cellStyle name="Hyperlink" xfId="7722" builtinId="8"/>
    <cellStyle name="Hyperlink 2" xfId="955" xr:uid="{00000000-0005-0000-0000-0000CC030000}"/>
    <cellStyle name="Hyperlink 2 2" xfId="3375" xr:uid="{00000000-0005-0000-0000-0000CD030000}"/>
    <cellStyle name="Hyperlink 2 3" xfId="4545" xr:uid="{00000000-0005-0000-0000-0000CE030000}"/>
    <cellStyle name="Input 2" xfId="84" xr:uid="{00000000-0005-0000-0000-0000CF030000}"/>
    <cellStyle name="Input 2 2" xfId="3376" xr:uid="{00000000-0005-0000-0000-0000D0030000}"/>
    <cellStyle name="Input 2 2 2" xfId="3377" xr:uid="{00000000-0005-0000-0000-0000D1030000}"/>
    <cellStyle name="Input 2 2 2 2" xfId="7511" xr:uid="{00000000-0005-0000-0000-0000D2030000}"/>
    <cellStyle name="Input 2 2 2 3" xfId="7583" xr:uid="{00000000-0005-0000-0000-0000D3030000}"/>
    <cellStyle name="Input 2 2 2 4" xfId="7641" xr:uid="{00000000-0005-0000-0000-0000D4030000}"/>
    <cellStyle name="Input 2 2 3" xfId="7510" xr:uid="{00000000-0005-0000-0000-0000D5030000}"/>
    <cellStyle name="Input 2 2 4" xfId="7582" xr:uid="{00000000-0005-0000-0000-0000D6030000}"/>
    <cellStyle name="Input 2 2 5" xfId="7640" xr:uid="{00000000-0005-0000-0000-0000D7030000}"/>
    <cellStyle name="Input 2 3" xfId="3378" xr:uid="{00000000-0005-0000-0000-0000D8030000}"/>
    <cellStyle name="Input 2 3 2" xfId="7512" xr:uid="{00000000-0005-0000-0000-0000D9030000}"/>
    <cellStyle name="Input 2 3 3" xfId="7584" xr:uid="{00000000-0005-0000-0000-0000DA030000}"/>
    <cellStyle name="Input 2 3 4" xfId="7642" xr:uid="{00000000-0005-0000-0000-0000DB030000}"/>
    <cellStyle name="Input 2 4" xfId="7490" xr:uid="{00000000-0005-0000-0000-0000DC030000}"/>
    <cellStyle name="Input 2 5" xfId="7562" xr:uid="{00000000-0005-0000-0000-0000DD030000}"/>
    <cellStyle name="Input 2 6" xfId="7639" xr:uid="{00000000-0005-0000-0000-0000DE030000}"/>
    <cellStyle name="Input 3" xfId="956" xr:uid="{00000000-0005-0000-0000-0000DF030000}"/>
    <cellStyle name="Input 3 2" xfId="3379" xr:uid="{00000000-0005-0000-0000-0000E0030000}"/>
    <cellStyle name="Input 3 2 2" xfId="7513" xr:uid="{00000000-0005-0000-0000-0000E1030000}"/>
    <cellStyle name="Input 3 2 3" xfId="7585" xr:uid="{00000000-0005-0000-0000-0000E2030000}"/>
    <cellStyle name="Input 3 2 4" xfId="7644" xr:uid="{00000000-0005-0000-0000-0000E3030000}"/>
    <cellStyle name="Input 3 3" xfId="3380" xr:uid="{00000000-0005-0000-0000-0000E4030000}"/>
    <cellStyle name="Input 3 4" xfId="7643" xr:uid="{00000000-0005-0000-0000-0000E5030000}"/>
    <cellStyle name="InputCells" xfId="957" xr:uid="{00000000-0005-0000-0000-0000E6030000}"/>
    <cellStyle name="Komma 2" xfId="440" xr:uid="{00000000-0005-0000-0000-0000E7030000}"/>
    <cellStyle name="Komma 2 2" xfId="959" xr:uid="{00000000-0005-0000-0000-0000E8030000}"/>
    <cellStyle name="Komma 2 2 2" xfId="6420" xr:uid="{00000000-0005-0000-0000-0000E9030000}"/>
    <cellStyle name="Komma 2 3" xfId="958" xr:uid="{00000000-0005-0000-0000-0000EA030000}"/>
    <cellStyle name="Komma 2 3 2" xfId="6421" xr:uid="{00000000-0005-0000-0000-0000EB030000}"/>
    <cellStyle name="Komma 2 4" xfId="3381" xr:uid="{00000000-0005-0000-0000-0000EC030000}"/>
    <cellStyle name="Komma 2 4 2" xfId="6422" xr:uid="{00000000-0005-0000-0000-0000ED030000}"/>
    <cellStyle name="Komma 2 4 3" xfId="7335" xr:uid="{00000000-0005-0000-0000-0000EE030000}"/>
    <cellStyle name="Komma 2 4 4" xfId="7468" xr:uid="{00000000-0005-0000-0000-0000EF030000}"/>
    <cellStyle name="Komma 2 5" xfId="5523" xr:uid="{00000000-0005-0000-0000-0000F0030000}"/>
    <cellStyle name="Komma 2 6" xfId="4546" xr:uid="{00000000-0005-0000-0000-0000F1030000}"/>
    <cellStyle name="Komma 3" xfId="441" xr:uid="{00000000-0005-0000-0000-0000F2030000}"/>
    <cellStyle name="Komma 3 2" xfId="961" xr:uid="{00000000-0005-0000-0000-0000F3030000}"/>
    <cellStyle name="Komma 3 3" xfId="960" xr:uid="{00000000-0005-0000-0000-0000F4030000}"/>
    <cellStyle name="Komma 3 4" xfId="6423" xr:uid="{00000000-0005-0000-0000-0000F5030000}"/>
    <cellStyle name="Komma 4" xfId="962" xr:uid="{00000000-0005-0000-0000-0000F6030000}"/>
    <cellStyle name="Komma 4 2" xfId="2316" xr:uid="{00000000-0005-0000-0000-0000F7030000}"/>
    <cellStyle name="Komma 4 2 2" xfId="6425" xr:uid="{00000000-0005-0000-0000-0000F8030000}"/>
    <cellStyle name="Komma 4 2 3" xfId="7348" xr:uid="{00000000-0005-0000-0000-0000F9030000}"/>
    <cellStyle name="Komma 4 2 4" xfId="7481" xr:uid="{00000000-0005-0000-0000-0000FA030000}"/>
    <cellStyle name="Komma 4 3" xfId="6424" xr:uid="{00000000-0005-0000-0000-0000FB030000}"/>
    <cellStyle name="Komma 4 4" xfId="7338" xr:uid="{00000000-0005-0000-0000-0000FC030000}"/>
    <cellStyle name="Komma 4 5" xfId="7471" xr:uid="{00000000-0005-0000-0000-0000FD030000}"/>
    <cellStyle name="Komma 5" xfId="963" xr:uid="{00000000-0005-0000-0000-0000FE030000}"/>
    <cellStyle name="Komma 5 2" xfId="2317" xr:uid="{00000000-0005-0000-0000-0000FF030000}"/>
    <cellStyle name="Komma 5 2 2" xfId="6427" xr:uid="{00000000-0005-0000-0000-000000040000}"/>
    <cellStyle name="Komma 5 3" xfId="6426" xr:uid="{00000000-0005-0000-0000-000001040000}"/>
    <cellStyle name="Komma 6" xfId="5487" xr:uid="{00000000-0005-0000-0000-000002040000}"/>
    <cellStyle name="Kontroller celle" xfId="3382" xr:uid="{00000000-0005-0000-0000-000003040000}"/>
    <cellStyle name="Link 2" xfId="964" xr:uid="{00000000-0005-0000-0000-000004040000}"/>
    <cellStyle name="Link 3" xfId="965" xr:uid="{00000000-0005-0000-0000-000005040000}"/>
    <cellStyle name="Markeringsfarve1" xfId="3383" xr:uid="{00000000-0005-0000-0000-000006040000}"/>
    <cellStyle name="Markeringsfarve2" xfId="3384" xr:uid="{00000000-0005-0000-0000-000007040000}"/>
    <cellStyle name="Markeringsfarve3" xfId="3385" xr:uid="{00000000-0005-0000-0000-000008040000}"/>
    <cellStyle name="Markeringsfarve4" xfId="3386" xr:uid="{00000000-0005-0000-0000-000009040000}"/>
    <cellStyle name="Markeringsfarve5" xfId="3387" xr:uid="{00000000-0005-0000-0000-00000A040000}"/>
    <cellStyle name="Markeringsfarve6" xfId="3388" xr:uid="{00000000-0005-0000-0000-00000B040000}"/>
    <cellStyle name="Migliaia [0] 10" xfId="85" xr:uid="{00000000-0005-0000-0000-00000C040000}"/>
    <cellStyle name="Migliaia [0] 10 2" xfId="2016" xr:uid="{00000000-0005-0000-0000-00000D040000}"/>
    <cellStyle name="Migliaia [0] 10 2 2" xfId="3389" xr:uid="{00000000-0005-0000-0000-00000E040000}"/>
    <cellStyle name="Migliaia [0] 10 2 2 2" xfId="5526" xr:uid="{00000000-0005-0000-0000-00000F040000}"/>
    <cellStyle name="Migliaia [0] 10 2 2 3" xfId="6471" xr:uid="{00000000-0005-0000-0000-000010040000}"/>
    <cellStyle name="Migliaia [0] 10 2 2 4" xfId="4549" xr:uid="{00000000-0005-0000-0000-000011040000}"/>
    <cellStyle name="Migliaia [0] 10 2 3" xfId="3390" xr:uid="{00000000-0005-0000-0000-000012040000}"/>
    <cellStyle name="Migliaia [0] 10 2 4" xfId="5525" xr:uid="{00000000-0005-0000-0000-000013040000}"/>
    <cellStyle name="Migliaia [0] 10 2 5" xfId="6470" xr:uid="{00000000-0005-0000-0000-000014040000}"/>
    <cellStyle name="Migliaia [0] 10 2 6" xfId="4548" xr:uid="{00000000-0005-0000-0000-000015040000}"/>
    <cellStyle name="Migliaia [0] 10 3" xfId="3391" xr:uid="{00000000-0005-0000-0000-000016040000}"/>
    <cellStyle name="Migliaia [0] 10 3 2" xfId="5527" xr:uid="{00000000-0005-0000-0000-000017040000}"/>
    <cellStyle name="Migliaia [0] 10 3 3" xfId="6472" xr:uid="{00000000-0005-0000-0000-000018040000}"/>
    <cellStyle name="Migliaia [0] 10 3 4" xfId="4550" xr:uid="{00000000-0005-0000-0000-000019040000}"/>
    <cellStyle name="Migliaia [0] 10 4" xfId="3392" xr:uid="{00000000-0005-0000-0000-00001A040000}"/>
    <cellStyle name="Migliaia [0] 10 5" xfId="5524" xr:uid="{00000000-0005-0000-0000-00001B040000}"/>
    <cellStyle name="Migliaia [0] 10 6" xfId="6469" xr:uid="{00000000-0005-0000-0000-00001C040000}"/>
    <cellStyle name="Migliaia [0] 10 7" xfId="4547" xr:uid="{00000000-0005-0000-0000-00001D040000}"/>
    <cellStyle name="Migliaia [0] 11" xfId="86" xr:uid="{00000000-0005-0000-0000-00001E040000}"/>
    <cellStyle name="Migliaia [0] 11 2" xfId="2017" xr:uid="{00000000-0005-0000-0000-00001F040000}"/>
    <cellStyle name="Migliaia [0] 11 2 2" xfId="3393" xr:uid="{00000000-0005-0000-0000-000020040000}"/>
    <cellStyle name="Migliaia [0] 11 2 2 2" xfId="5530" xr:uid="{00000000-0005-0000-0000-000021040000}"/>
    <cellStyle name="Migliaia [0] 11 2 2 3" xfId="6475" xr:uid="{00000000-0005-0000-0000-000022040000}"/>
    <cellStyle name="Migliaia [0] 11 2 2 4" xfId="4553" xr:uid="{00000000-0005-0000-0000-000023040000}"/>
    <cellStyle name="Migliaia [0] 11 2 3" xfId="3394" xr:uid="{00000000-0005-0000-0000-000024040000}"/>
    <cellStyle name="Migliaia [0] 11 2 4" xfId="5529" xr:uid="{00000000-0005-0000-0000-000025040000}"/>
    <cellStyle name="Migliaia [0] 11 2 5" xfId="6474" xr:uid="{00000000-0005-0000-0000-000026040000}"/>
    <cellStyle name="Migliaia [0] 11 2 6" xfId="4552" xr:uid="{00000000-0005-0000-0000-000027040000}"/>
    <cellStyle name="Migliaia [0] 11 3" xfId="3395" xr:uid="{00000000-0005-0000-0000-000028040000}"/>
    <cellStyle name="Migliaia [0] 11 3 2" xfId="5531" xr:uid="{00000000-0005-0000-0000-000029040000}"/>
    <cellStyle name="Migliaia [0] 11 3 3" xfId="6476" xr:uid="{00000000-0005-0000-0000-00002A040000}"/>
    <cellStyle name="Migliaia [0] 11 3 4" xfId="4554" xr:uid="{00000000-0005-0000-0000-00002B040000}"/>
    <cellStyle name="Migliaia [0] 11 4" xfId="3396" xr:uid="{00000000-0005-0000-0000-00002C040000}"/>
    <cellStyle name="Migliaia [0] 11 5" xfId="5528" xr:uid="{00000000-0005-0000-0000-00002D040000}"/>
    <cellStyle name="Migliaia [0] 11 6" xfId="6473" xr:uid="{00000000-0005-0000-0000-00002E040000}"/>
    <cellStyle name="Migliaia [0] 11 7" xfId="4551" xr:uid="{00000000-0005-0000-0000-00002F040000}"/>
    <cellStyle name="Migliaia [0] 12" xfId="87" xr:uid="{00000000-0005-0000-0000-000030040000}"/>
    <cellStyle name="Migliaia [0] 12 2" xfId="2018" xr:uid="{00000000-0005-0000-0000-000031040000}"/>
    <cellStyle name="Migliaia [0] 12 2 2" xfId="3397" xr:uid="{00000000-0005-0000-0000-000032040000}"/>
    <cellStyle name="Migliaia [0] 12 2 2 2" xfId="5534" xr:uid="{00000000-0005-0000-0000-000033040000}"/>
    <cellStyle name="Migliaia [0] 12 2 2 3" xfId="6479" xr:uid="{00000000-0005-0000-0000-000034040000}"/>
    <cellStyle name="Migliaia [0] 12 2 2 4" xfId="4557" xr:uid="{00000000-0005-0000-0000-000035040000}"/>
    <cellStyle name="Migliaia [0] 12 2 3" xfId="3398" xr:uid="{00000000-0005-0000-0000-000036040000}"/>
    <cellStyle name="Migliaia [0] 12 2 4" xfId="5533" xr:uid="{00000000-0005-0000-0000-000037040000}"/>
    <cellStyle name="Migliaia [0] 12 2 5" xfId="6478" xr:uid="{00000000-0005-0000-0000-000038040000}"/>
    <cellStyle name="Migliaia [0] 12 2 6" xfId="4556" xr:uid="{00000000-0005-0000-0000-000039040000}"/>
    <cellStyle name="Migliaia [0] 12 3" xfId="3399" xr:uid="{00000000-0005-0000-0000-00003A040000}"/>
    <cellStyle name="Migliaia [0] 12 3 2" xfId="5535" xr:uid="{00000000-0005-0000-0000-00003B040000}"/>
    <cellStyle name="Migliaia [0] 12 3 3" xfId="6480" xr:uid="{00000000-0005-0000-0000-00003C040000}"/>
    <cellStyle name="Migliaia [0] 12 3 4" xfId="4558" xr:uid="{00000000-0005-0000-0000-00003D040000}"/>
    <cellStyle name="Migliaia [0] 12 4" xfId="3400" xr:uid="{00000000-0005-0000-0000-00003E040000}"/>
    <cellStyle name="Migliaia [0] 12 5" xfId="5532" xr:uid="{00000000-0005-0000-0000-00003F040000}"/>
    <cellStyle name="Migliaia [0] 12 6" xfId="6477" xr:uid="{00000000-0005-0000-0000-000040040000}"/>
    <cellStyle name="Migliaia [0] 12 7" xfId="4555" xr:uid="{00000000-0005-0000-0000-000041040000}"/>
    <cellStyle name="Migliaia [0] 13" xfId="88" xr:uid="{00000000-0005-0000-0000-000042040000}"/>
    <cellStyle name="Migliaia [0] 13 2" xfId="2019" xr:uid="{00000000-0005-0000-0000-000043040000}"/>
    <cellStyle name="Migliaia [0] 13 2 2" xfId="3401" xr:uid="{00000000-0005-0000-0000-000044040000}"/>
    <cellStyle name="Migliaia [0] 13 2 2 2" xfId="5538" xr:uid="{00000000-0005-0000-0000-000045040000}"/>
    <cellStyle name="Migliaia [0] 13 2 2 3" xfId="6483" xr:uid="{00000000-0005-0000-0000-000046040000}"/>
    <cellStyle name="Migliaia [0] 13 2 2 4" xfId="4561" xr:uid="{00000000-0005-0000-0000-000047040000}"/>
    <cellStyle name="Migliaia [0] 13 2 3" xfId="3402" xr:uid="{00000000-0005-0000-0000-000048040000}"/>
    <cellStyle name="Migliaia [0] 13 2 4" xfId="5537" xr:uid="{00000000-0005-0000-0000-000049040000}"/>
    <cellStyle name="Migliaia [0] 13 2 5" xfId="6482" xr:uid="{00000000-0005-0000-0000-00004A040000}"/>
    <cellStyle name="Migliaia [0] 13 2 6" xfId="4560" xr:uid="{00000000-0005-0000-0000-00004B040000}"/>
    <cellStyle name="Migliaia [0] 13 3" xfId="3403" xr:uid="{00000000-0005-0000-0000-00004C040000}"/>
    <cellStyle name="Migliaia [0] 13 3 2" xfId="5539" xr:uid="{00000000-0005-0000-0000-00004D040000}"/>
    <cellStyle name="Migliaia [0] 13 3 3" xfId="6484" xr:uid="{00000000-0005-0000-0000-00004E040000}"/>
    <cellStyle name="Migliaia [0] 13 3 4" xfId="4562" xr:uid="{00000000-0005-0000-0000-00004F040000}"/>
    <cellStyle name="Migliaia [0] 13 4" xfId="3404" xr:uid="{00000000-0005-0000-0000-000050040000}"/>
    <cellStyle name="Migliaia [0] 13 5" xfId="5536" xr:uid="{00000000-0005-0000-0000-000051040000}"/>
    <cellStyle name="Migliaia [0] 13 6" xfId="6481" xr:uid="{00000000-0005-0000-0000-000052040000}"/>
    <cellStyle name="Migliaia [0] 13 7" xfId="4559" xr:uid="{00000000-0005-0000-0000-000053040000}"/>
    <cellStyle name="Migliaia [0] 14" xfId="89" xr:uid="{00000000-0005-0000-0000-000054040000}"/>
    <cellStyle name="Migliaia [0] 14 2" xfId="2020" xr:uid="{00000000-0005-0000-0000-000055040000}"/>
    <cellStyle name="Migliaia [0] 14 2 2" xfId="3405" xr:uid="{00000000-0005-0000-0000-000056040000}"/>
    <cellStyle name="Migliaia [0] 14 2 2 2" xfId="5542" xr:uid="{00000000-0005-0000-0000-000057040000}"/>
    <cellStyle name="Migliaia [0] 14 2 2 3" xfId="6487" xr:uid="{00000000-0005-0000-0000-000058040000}"/>
    <cellStyle name="Migliaia [0] 14 2 2 4" xfId="4565" xr:uid="{00000000-0005-0000-0000-000059040000}"/>
    <cellStyle name="Migliaia [0] 14 2 3" xfId="3406" xr:uid="{00000000-0005-0000-0000-00005A040000}"/>
    <cellStyle name="Migliaia [0] 14 2 4" xfId="5541" xr:uid="{00000000-0005-0000-0000-00005B040000}"/>
    <cellStyle name="Migliaia [0] 14 2 5" xfId="6486" xr:uid="{00000000-0005-0000-0000-00005C040000}"/>
    <cellStyle name="Migliaia [0] 14 2 6" xfId="4564" xr:uid="{00000000-0005-0000-0000-00005D040000}"/>
    <cellStyle name="Migliaia [0] 14 3" xfId="3407" xr:uid="{00000000-0005-0000-0000-00005E040000}"/>
    <cellStyle name="Migliaia [0] 14 3 2" xfId="5543" xr:uid="{00000000-0005-0000-0000-00005F040000}"/>
    <cellStyle name="Migliaia [0] 14 3 3" xfId="6488" xr:uid="{00000000-0005-0000-0000-000060040000}"/>
    <cellStyle name="Migliaia [0] 14 3 4" xfId="4566" xr:uid="{00000000-0005-0000-0000-000061040000}"/>
    <cellStyle name="Migliaia [0] 14 4" xfId="3408" xr:uid="{00000000-0005-0000-0000-000062040000}"/>
    <cellStyle name="Migliaia [0] 14 5" xfId="5540" xr:uid="{00000000-0005-0000-0000-000063040000}"/>
    <cellStyle name="Migliaia [0] 14 6" xfId="6485" xr:uid="{00000000-0005-0000-0000-000064040000}"/>
    <cellStyle name="Migliaia [0] 14 7" xfId="4563" xr:uid="{00000000-0005-0000-0000-000065040000}"/>
    <cellStyle name="Migliaia [0] 15" xfId="90" xr:uid="{00000000-0005-0000-0000-000066040000}"/>
    <cellStyle name="Migliaia [0] 15 2" xfId="2021" xr:uid="{00000000-0005-0000-0000-000067040000}"/>
    <cellStyle name="Migliaia [0] 15 2 2" xfId="3409" xr:uid="{00000000-0005-0000-0000-000068040000}"/>
    <cellStyle name="Migliaia [0] 15 2 2 2" xfId="5546" xr:uid="{00000000-0005-0000-0000-000069040000}"/>
    <cellStyle name="Migliaia [0] 15 2 2 3" xfId="6491" xr:uid="{00000000-0005-0000-0000-00006A040000}"/>
    <cellStyle name="Migliaia [0] 15 2 2 4" xfId="4569" xr:uid="{00000000-0005-0000-0000-00006B040000}"/>
    <cellStyle name="Migliaia [0] 15 2 3" xfId="3410" xr:uid="{00000000-0005-0000-0000-00006C040000}"/>
    <cellStyle name="Migliaia [0] 15 2 4" xfId="5545" xr:uid="{00000000-0005-0000-0000-00006D040000}"/>
    <cellStyle name="Migliaia [0] 15 2 5" xfId="6490" xr:uid="{00000000-0005-0000-0000-00006E040000}"/>
    <cellStyle name="Migliaia [0] 15 2 6" xfId="4568" xr:uid="{00000000-0005-0000-0000-00006F040000}"/>
    <cellStyle name="Migliaia [0] 15 3" xfId="3411" xr:uid="{00000000-0005-0000-0000-000070040000}"/>
    <cellStyle name="Migliaia [0] 15 3 2" xfId="5547" xr:uid="{00000000-0005-0000-0000-000071040000}"/>
    <cellStyle name="Migliaia [0] 15 3 3" xfId="6492" xr:uid="{00000000-0005-0000-0000-000072040000}"/>
    <cellStyle name="Migliaia [0] 15 3 4" xfId="4570" xr:uid="{00000000-0005-0000-0000-000073040000}"/>
    <cellStyle name="Migliaia [0] 15 4" xfId="3412" xr:uid="{00000000-0005-0000-0000-000074040000}"/>
    <cellStyle name="Migliaia [0] 15 5" xfId="5544" xr:uid="{00000000-0005-0000-0000-000075040000}"/>
    <cellStyle name="Migliaia [0] 15 6" xfId="6489" xr:uid="{00000000-0005-0000-0000-000076040000}"/>
    <cellStyle name="Migliaia [0] 15 7" xfId="4567" xr:uid="{00000000-0005-0000-0000-000077040000}"/>
    <cellStyle name="Migliaia [0] 16" xfId="91" xr:uid="{00000000-0005-0000-0000-000078040000}"/>
    <cellStyle name="Migliaia [0] 16 2" xfId="2022" xr:uid="{00000000-0005-0000-0000-000079040000}"/>
    <cellStyle name="Migliaia [0] 16 2 2" xfId="3413" xr:uid="{00000000-0005-0000-0000-00007A040000}"/>
    <cellStyle name="Migliaia [0] 16 2 2 2" xfId="5550" xr:uid="{00000000-0005-0000-0000-00007B040000}"/>
    <cellStyle name="Migliaia [0] 16 2 2 3" xfId="6495" xr:uid="{00000000-0005-0000-0000-00007C040000}"/>
    <cellStyle name="Migliaia [0] 16 2 2 4" xfId="4573" xr:uid="{00000000-0005-0000-0000-00007D040000}"/>
    <cellStyle name="Migliaia [0] 16 2 3" xfId="3414" xr:uid="{00000000-0005-0000-0000-00007E040000}"/>
    <cellStyle name="Migliaia [0] 16 2 4" xfId="5549" xr:uid="{00000000-0005-0000-0000-00007F040000}"/>
    <cellStyle name="Migliaia [0] 16 2 5" xfId="6494" xr:uid="{00000000-0005-0000-0000-000080040000}"/>
    <cellStyle name="Migliaia [0] 16 2 6" xfId="4572" xr:uid="{00000000-0005-0000-0000-000081040000}"/>
    <cellStyle name="Migliaia [0] 16 3" xfId="3415" xr:uid="{00000000-0005-0000-0000-000082040000}"/>
    <cellStyle name="Migliaia [0] 16 3 2" xfId="5551" xr:uid="{00000000-0005-0000-0000-000083040000}"/>
    <cellStyle name="Migliaia [0] 16 3 3" xfId="6496" xr:uid="{00000000-0005-0000-0000-000084040000}"/>
    <cellStyle name="Migliaia [0] 16 3 4" xfId="4574" xr:uid="{00000000-0005-0000-0000-000085040000}"/>
    <cellStyle name="Migliaia [0] 16 4" xfId="3416" xr:uid="{00000000-0005-0000-0000-000086040000}"/>
    <cellStyle name="Migliaia [0] 16 5" xfId="5548" xr:uid="{00000000-0005-0000-0000-000087040000}"/>
    <cellStyle name="Migliaia [0] 16 6" xfId="6493" xr:uid="{00000000-0005-0000-0000-000088040000}"/>
    <cellStyle name="Migliaia [0] 16 7" xfId="4571" xr:uid="{00000000-0005-0000-0000-000089040000}"/>
    <cellStyle name="Migliaia [0] 17" xfId="92" xr:uid="{00000000-0005-0000-0000-00008A040000}"/>
    <cellStyle name="Migliaia [0] 17 2" xfId="2023" xr:uid="{00000000-0005-0000-0000-00008B040000}"/>
    <cellStyle name="Migliaia [0] 17 2 2" xfId="3417" xr:uid="{00000000-0005-0000-0000-00008C040000}"/>
    <cellStyle name="Migliaia [0] 17 2 2 2" xfId="5554" xr:uid="{00000000-0005-0000-0000-00008D040000}"/>
    <cellStyle name="Migliaia [0] 17 2 2 3" xfId="6499" xr:uid="{00000000-0005-0000-0000-00008E040000}"/>
    <cellStyle name="Migliaia [0] 17 2 2 4" xfId="4577" xr:uid="{00000000-0005-0000-0000-00008F040000}"/>
    <cellStyle name="Migliaia [0] 17 2 3" xfId="3418" xr:uid="{00000000-0005-0000-0000-000090040000}"/>
    <cellStyle name="Migliaia [0] 17 2 4" xfId="5553" xr:uid="{00000000-0005-0000-0000-000091040000}"/>
    <cellStyle name="Migliaia [0] 17 2 5" xfId="6498" xr:uid="{00000000-0005-0000-0000-000092040000}"/>
    <cellStyle name="Migliaia [0] 17 2 6" xfId="4576" xr:uid="{00000000-0005-0000-0000-000093040000}"/>
    <cellStyle name="Migliaia [0] 17 3" xfId="3419" xr:uid="{00000000-0005-0000-0000-000094040000}"/>
    <cellStyle name="Migliaia [0] 17 3 2" xfId="5555" xr:uid="{00000000-0005-0000-0000-000095040000}"/>
    <cellStyle name="Migliaia [0] 17 3 3" xfId="6500" xr:uid="{00000000-0005-0000-0000-000096040000}"/>
    <cellStyle name="Migliaia [0] 17 3 4" xfId="4578" xr:uid="{00000000-0005-0000-0000-000097040000}"/>
    <cellStyle name="Migliaia [0] 17 4" xfId="3420" xr:uid="{00000000-0005-0000-0000-000098040000}"/>
    <cellStyle name="Migliaia [0] 17 5" xfId="5552" xr:uid="{00000000-0005-0000-0000-000099040000}"/>
    <cellStyle name="Migliaia [0] 17 6" xfId="6497" xr:uid="{00000000-0005-0000-0000-00009A040000}"/>
    <cellStyle name="Migliaia [0] 17 7" xfId="4575" xr:uid="{00000000-0005-0000-0000-00009B040000}"/>
    <cellStyle name="Migliaia [0] 18" xfId="93" xr:uid="{00000000-0005-0000-0000-00009C040000}"/>
    <cellStyle name="Migliaia [0] 18 2" xfId="2024" xr:uid="{00000000-0005-0000-0000-00009D040000}"/>
    <cellStyle name="Migliaia [0] 18 2 2" xfId="3421" xr:uid="{00000000-0005-0000-0000-00009E040000}"/>
    <cellStyle name="Migliaia [0] 18 2 2 2" xfId="5558" xr:uid="{00000000-0005-0000-0000-00009F040000}"/>
    <cellStyle name="Migliaia [0] 18 2 2 3" xfId="6503" xr:uid="{00000000-0005-0000-0000-0000A0040000}"/>
    <cellStyle name="Migliaia [0] 18 2 2 4" xfId="4581" xr:uid="{00000000-0005-0000-0000-0000A1040000}"/>
    <cellStyle name="Migliaia [0] 18 2 3" xfId="3422" xr:uid="{00000000-0005-0000-0000-0000A2040000}"/>
    <cellStyle name="Migliaia [0] 18 2 4" xfId="5557" xr:uid="{00000000-0005-0000-0000-0000A3040000}"/>
    <cellStyle name="Migliaia [0] 18 2 5" xfId="6502" xr:uid="{00000000-0005-0000-0000-0000A4040000}"/>
    <cellStyle name="Migliaia [0] 18 2 6" xfId="4580" xr:uid="{00000000-0005-0000-0000-0000A5040000}"/>
    <cellStyle name="Migliaia [0] 18 3" xfId="3423" xr:uid="{00000000-0005-0000-0000-0000A6040000}"/>
    <cellStyle name="Migliaia [0] 18 3 2" xfId="5559" xr:uid="{00000000-0005-0000-0000-0000A7040000}"/>
    <cellStyle name="Migliaia [0] 18 3 3" xfId="6504" xr:uid="{00000000-0005-0000-0000-0000A8040000}"/>
    <cellStyle name="Migliaia [0] 18 3 4" xfId="4582" xr:uid="{00000000-0005-0000-0000-0000A9040000}"/>
    <cellStyle name="Migliaia [0] 18 4" xfId="3424" xr:uid="{00000000-0005-0000-0000-0000AA040000}"/>
    <cellStyle name="Migliaia [0] 18 5" xfId="5556" xr:uid="{00000000-0005-0000-0000-0000AB040000}"/>
    <cellStyle name="Migliaia [0] 18 6" xfId="6501" xr:uid="{00000000-0005-0000-0000-0000AC040000}"/>
    <cellStyle name="Migliaia [0] 18 7" xfId="4579" xr:uid="{00000000-0005-0000-0000-0000AD040000}"/>
    <cellStyle name="Migliaia [0] 19" xfId="94" xr:uid="{00000000-0005-0000-0000-0000AE040000}"/>
    <cellStyle name="Migliaia [0] 19 2" xfId="2025" xr:uid="{00000000-0005-0000-0000-0000AF040000}"/>
    <cellStyle name="Migliaia [0] 19 2 2" xfId="3425" xr:uid="{00000000-0005-0000-0000-0000B0040000}"/>
    <cellStyle name="Migliaia [0] 19 2 2 2" xfId="5562" xr:uid="{00000000-0005-0000-0000-0000B1040000}"/>
    <cellStyle name="Migliaia [0] 19 2 2 3" xfId="6507" xr:uid="{00000000-0005-0000-0000-0000B2040000}"/>
    <cellStyle name="Migliaia [0] 19 2 2 4" xfId="4585" xr:uid="{00000000-0005-0000-0000-0000B3040000}"/>
    <cellStyle name="Migliaia [0] 19 2 3" xfId="3426" xr:uid="{00000000-0005-0000-0000-0000B4040000}"/>
    <cellStyle name="Migliaia [0] 19 2 4" xfId="5561" xr:uid="{00000000-0005-0000-0000-0000B5040000}"/>
    <cellStyle name="Migliaia [0] 19 2 5" xfId="6506" xr:uid="{00000000-0005-0000-0000-0000B6040000}"/>
    <cellStyle name="Migliaia [0] 19 2 6" xfId="4584" xr:uid="{00000000-0005-0000-0000-0000B7040000}"/>
    <cellStyle name="Migliaia [0] 19 3" xfId="3427" xr:uid="{00000000-0005-0000-0000-0000B8040000}"/>
    <cellStyle name="Migliaia [0] 19 3 2" xfId="5563" xr:uid="{00000000-0005-0000-0000-0000B9040000}"/>
    <cellStyle name="Migliaia [0] 19 3 3" xfId="6508" xr:uid="{00000000-0005-0000-0000-0000BA040000}"/>
    <cellStyle name="Migliaia [0] 19 3 4" xfId="4586" xr:uid="{00000000-0005-0000-0000-0000BB040000}"/>
    <cellStyle name="Migliaia [0] 19 4" xfId="3428" xr:uid="{00000000-0005-0000-0000-0000BC040000}"/>
    <cellStyle name="Migliaia [0] 19 5" xfId="5560" xr:uid="{00000000-0005-0000-0000-0000BD040000}"/>
    <cellStyle name="Migliaia [0] 19 6" xfId="6505" xr:uid="{00000000-0005-0000-0000-0000BE040000}"/>
    <cellStyle name="Migliaia [0] 19 7" xfId="4583" xr:uid="{00000000-0005-0000-0000-0000BF040000}"/>
    <cellStyle name="Migliaia [0] 2" xfId="95" xr:uid="{00000000-0005-0000-0000-0000C0040000}"/>
    <cellStyle name="Migliaia [0] 2 2" xfId="2026" xr:uid="{00000000-0005-0000-0000-0000C1040000}"/>
    <cellStyle name="Migliaia [0] 2 2 2" xfId="3429" xr:uid="{00000000-0005-0000-0000-0000C2040000}"/>
    <cellStyle name="Migliaia [0] 2 2 2 2" xfId="5566" xr:uid="{00000000-0005-0000-0000-0000C3040000}"/>
    <cellStyle name="Migliaia [0] 2 2 2 3" xfId="6511" xr:uid="{00000000-0005-0000-0000-0000C4040000}"/>
    <cellStyle name="Migliaia [0] 2 2 2 4" xfId="4589" xr:uid="{00000000-0005-0000-0000-0000C5040000}"/>
    <cellStyle name="Migliaia [0] 2 2 3" xfId="3430" xr:uid="{00000000-0005-0000-0000-0000C6040000}"/>
    <cellStyle name="Migliaia [0] 2 2 4" xfId="5565" xr:uid="{00000000-0005-0000-0000-0000C7040000}"/>
    <cellStyle name="Migliaia [0] 2 2 5" xfId="6510" xr:uid="{00000000-0005-0000-0000-0000C8040000}"/>
    <cellStyle name="Migliaia [0] 2 2 6" xfId="4588" xr:uid="{00000000-0005-0000-0000-0000C9040000}"/>
    <cellStyle name="Migliaia [0] 2 3" xfId="3431" xr:uid="{00000000-0005-0000-0000-0000CA040000}"/>
    <cellStyle name="Migliaia [0] 2 3 2" xfId="5567" xr:uid="{00000000-0005-0000-0000-0000CB040000}"/>
    <cellStyle name="Migliaia [0] 2 3 3" xfId="6512" xr:uid="{00000000-0005-0000-0000-0000CC040000}"/>
    <cellStyle name="Migliaia [0] 2 3 4" xfId="4590" xr:uid="{00000000-0005-0000-0000-0000CD040000}"/>
    <cellStyle name="Migliaia [0] 2 4" xfId="3432" xr:uid="{00000000-0005-0000-0000-0000CE040000}"/>
    <cellStyle name="Migliaia [0] 2 5" xfId="5564" xr:uid="{00000000-0005-0000-0000-0000CF040000}"/>
    <cellStyle name="Migliaia [0] 2 6" xfId="6509" xr:uid="{00000000-0005-0000-0000-0000D0040000}"/>
    <cellStyle name="Migliaia [0] 2 7" xfId="4587" xr:uid="{00000000-0005-0000-0000-0000D1040000}"/>
    <cellStyle name="Migliaia [0] 20" xfId="96" xr:uid="{00000000-0005-0000-0000-0000D2040000}"/>
    <cellStyle name="Migliaia [0] 20 2" xfId="2027" xr:uid="{00000000-0005-0000-0000-0000D3040000}"/>
    <cellStyle name="Migliaia [0] 20 2 2" xfId="3433" xr:uid="{00000000-0005-0000-0000-0000D4040000}"/>
    <cellStyle name="Migliaia [0] 20 2 2 2" xfId="5570" xr:uid="{00000000-0005-0000-0000-0000D5040000}"/>
    <cellStyle name="Migliaia [0] 20 2 2 3" xfId="6515" xr:uid="{00000000-0005-0000-0000-0000D6040000}"/>
    <cellStyle name="Migliaia [0] 20 2 2 4" xfId="4593" xr:uid="{00000000-0005-0000-0000-0000D7040000}"/>
    <cellStyle name="Migliaia [0] 20 2 3" xfId="3434" xr:uid="{00000000-0005-0000-0000-0000D8040000}"/>
    <cellStyle name="Migliaia [0] 20 2 4" xfId="5569" xr:uid="{00000000-0005-0000-0000-0000D9040000}"/>
    <cellStyle name="Migliaia [0] 20 2 5" xfId="6514" xr:uid="{00000000-0005-0000-0000-0000DA040000}"/>
    <cellStyle name="Migliaia [0] 20 2 6" xfId="4592" xr:uid="{00000000-0005-0000-0000-0000DB040000}"/>
    <cellStyle name="Migliaia [0] 20 3" xfId="3435" xr:uid="{00000000-0005-0000-0000-0000DC040000}"/>
    <cellStyle name="Migliaia [0] 20 3 2" xfId="5571" xr:uid="{00000000-0005-0000-0000-0000DD040000}"/>
    <cellStyle name="Migliaia [0] 20 3 3" xfId="6516" xr:uid="{00000000-0005-0000-0000-0000DE040000}"/>
    <cellStyle name="Migliaia [0] 20 3 4" xfId="4594" xr:uid="{00000000-0005-0000-0000-0000DF040000}"/>
    <cellStyle name="Migliaia [0] 20 4" xfId="3436" xr:uid="{00000000-0005-0000-0000-0000E0040000}"/>
    <cellStyle name="Migliaia [0] 20 5" xfId="5568" xr:uid="{00000000-0005-0000-0000-0000E1040000}"/>
    <cellStyle name="Migliaia [0] 20 6" xfId="6513" xr:uid="{00000000-0005-0000-0000-0000E2040000}"/>
    <cellStyle name="Migliaia [0] 20 7" xfId="4591" xr:uid="{00000000-0005-0000-0000-0000E3040000}"/>
    <cellStyle name="Migliaia [0] 21" xfId="97" xr:uid="{00000000-0005-0000-0000-0000E4040000}"/>
    <cellStyle name="Migliaia [0] 21 2" xfId="2028" xr:uid="{00000000-0005-0000-0000-0000E5040000}"/>
    <cellStyle name="Migliaia [0] 21 2 2" xfId="3437" xr:uid="{00000000-0005-0000-0000-0000E6040000}"/>
    <cellStyle name="Migliaia [0] 21 2 2 2" xfId="5574" xr:uid="{00000000-0005-0000-0000-0000E7040000}"/>
    <cellStyle name="Migliaia [0] 21 2 2 3" xfId="6519" xr:uid="{00000000-0005-0000-0000-0000E8040000}"/>
    <cellStyle name="Migliaia [0] 21 2 2 4" xfId="4597" xr:uid="{00000000-0005-0000-0000-0000E9040000}"/>
    <cellStyle name="Migliaia [0] 21 2 3" xfId="3438" xr:uid="{00000000-0005-0000-0000-0000EA040000}"/>
    <cellStyle name="Migliaia [0] 21 2 4" xfId="5573" xr:uid="{00000000-0005-0000-0000-0000EB040000}"/>
    <cellStyle name="Migliaia [0] 21 2 5" xfId="6518" xr:uid="{00000000-0005-0000-0000-0000EC040000}"/>
    <cellStyle name="Migliaia [0] 21 2 6" xfId="4596" xr:uid="{00000000-0005-0000-0000-0000ED040000}"/>
    <cellStyle name="Migliaia [0] 21 3" xfId="3439" xr:uid="{00000000-0005-0000-0000-0000EE040000}"/>
    <cellStyle name="Migliaia [0] 21 3 2" xfId="5575" xr:uid="{00000000-0005-0000-0000-0000EF040000}"/>
    <cellStyle name="Migliaia [0] 21 3 3" xfId="6520" xr:uid="{00000000-0005-0000-0000-0000F0040000}"/>
    <cellStyle name="Migliaia [0] 21 3 4" xfId="4598" xr:uid="{00000000-0005-0000-0000-0000F1040000}"/>
    <cellStyle name="Migliaia [0] 21 4" xfId="3440" xr:uid="{00000000-0005-0000-0000-0000F2040000}"/>
    <cellStyle name="Migliaia [0] 21 5" xfId="5572" xr:uid="{00000000-0005-0000-0000-0000F3040000}"/>
    <cellStyle name="Migliaia [0] 21 6" xfId="6517" xr:uid="{00000000-0005-0000-0000-0000F4040000}"/>
    <cellStyle name="Migliaia [0] 21 7" xfId="4595" xr:uid="{00000000-0005-0000-0000-0000F5040000}"/>
    <cellStyle name="Migliaia [0] 22" xfId="98" xr:uid="{00000000-0005-0000-0000-0000F6040000}"/>
    <cellStyle name="Migliaia [0] 22 2" xfId="2029" xr:uid="{00000000-0005-0000-0000-0000F7040000}"/>
    <cellStyle name="Migliaia [0] 22 2 2" xfId="3441" xr:uid="{00000000-0005-0000-0000-0000F8040000}"/>
    <cellStyle name="Migliaia [0] 22 2 2 2" xfId="5578" xr:uid="{00000000-0005-0000-0000-0000F9040000}"/>
    <cellStyle name="Migliaia [0] 22 2 2 3" xfId="6523" xr:uid="{00000000-0005-0000-0000-0000FA040000}"/>
    <cellStyle name="Migliaia [0] 22 2 2 4" xfId="4601" xr:uid="{00000000-0005-0000-0000-0000FB040000}"/>
    <cellStyle name="Migliaia [0] 22 2 3" xfId="3442" xr:uid="{00000000-0005-0000-0000-0000FC040000}"/>
    <cellStyle name="Migliaia [0] 22 2 4" xfId="5577" xr:uid="{00000000-0005-0000-0000-0000FD040000}"/>
    <cellStyle name="Migliaia [0] 22 2 5" xfId="6522" xr:uid="{00000000-0005-0000-0000-0000FE040000}"/>
    <cellStyle name="Migliaia [0] 22 2 6" xfId="4600" xr:uid="{00000000-0005-0000-0000-0000FF040000}"/>
    <cellStyle name="Migliaia [0] 22 3" xfId="3443" xr:uid="{00000000-0005-0000-0000-000000050000}"/>
    <cellStyle name="Migliaia [0] 22 3 2" xfId="5579" xr:uid="{00000000-0005-0000-0000-000001050000}"/>
    <cellStyle name="Migliaia [0] 22 3 3" xfId="6524" xr:uid="{00000000-0005-0000-0000-000002050000}"/>
    <cellStyle name="Migliaia [0] 22 3 4" xfId="4602" xr:uid="{00000000-0005-0000-0000-000003050000}"/>
    <cellStyle name="Migliaia [0] 22 4" xfId="3444" xr:uid="{00000000-0005-0000-0000-000004050000}"/>
    <cellStyle name="Migliaia [0] 22 5" xfId="5576" xr:uid="{00000000-0005-0000-0000-000005050000}"/>
    <cellStyle name="Migliaia [0] 22 6" xfId="6521" xr:uid="{00000000-0005-0000-0000-000006050000}"/>
    <cellStyle name="Migliaia [0] 22 7" xfId="4599" xr:uid="{00000000-0005-0000-0000-000007050000}"/>
    <cellStyle name="Migliaia [0] 23" xfId="99" xr:uid="{00000000-0005-0000-0000-000008050000}"/>
    <cellStyle name="Migliaia [0] 23 2" xfId="2030" xr:uid="{00000000-0005-0000-0000-000009050000}"/>
    <cellStyle name="Migliaia [0] 23 2 2" xfId="3445" xr:uid="{00000000-0005-0000-0000-00000A050000}"/>
    <cellStyle name="Migliaia [0] 23 2 2 2" xfId="5582" xr:uid="{00000000-0005-0000-0000-00000B050000}"/>
    <cellStyle name="Migliaia [0] 23 2 2 3" xfId="6527" xr:uid="{00000000-0005-0000-0000-00000C050000}"/>
    <cellStyle name="Migliaia [0] 23 2 2 4" xfId="4605" xr:uid="{00000000-0005-0000-0000-00000D050000}"/>
    <cellStyle name="Migliaia [0] 23 2 3" xfId="3446" xr:uid="{00000000-0005-0000-0000-00000E050000}"/>
    <cellStyle name="Migliaia [0] 23 2 4" xfId="5581" xr:uid="{00000000-0005-0000-0000-00000F050000}"/>
    <cellStyle name="Migliaia [0] 23 2 5" xfId="6526" xr:uid="{00000000-0005-0000-0000-000010050000}"/>
    <cellStyle name="Migliaia [0] 23 2 6" xfId="4604" xr:uid="{00000000-0005-0000-0000-000011050000}"/>
    <cellStyle name="Migliaia [0] 23 3" xfId="3447" xr:uid="{00000000-0005-0000-0000-000012050000}"/>
    <cellStyle name="Migliaia [0] 23 3 2" xfId="5583" xr:uid="{00000000-0005-0000-0000-000013050000}"/>
    <cellStyle name="Migliaia [0] 23 3 3" xfId="6528" xr:uid="{00000000-0005-0000-0000-000014050000}"/>
    <cellStyle name="Migliaia [0] 23 3 4" xfId="4606" xr:uid="{00000000-0005-0000-0000-000015050000}"/>
    <cellStyle name="Migliaia [0] 23 4" xfId="3448" xr:uid="{00000000-0005-0000-0000-000016050000}"/>
    <cellStyle name="Migliaia [0] 23 5" xfId="5580" xr:uid="{00000000-0005-0000-0000-000017050000}"/>
    <cellStyle name="Migliaia [0] 23 6" xfId="6525" xr:uid="{00000000-0005-0000-0000-000018050000}"/>
    <cellStyle name="Migliaia [0] 23 7" xfId="4603" xr:uid="{00000000-0005-0000-0000-000019050000}"/>
    <cellStyle name="Migliaia [0] 24" xfId="100" xr:uid="{00000000-0005-0000-0000-00001A050000}"/>
    <cellStyle name="Migliaia [0] 24 2" xfId="2031" xr:uid="{00000000-0005-0000-0000-00001B050000}"/>
    <cellStyle name="Migliaia [0] 24 2 2" xfId="3449" xr:uid="{00000000-0005-0000-0000-00001C050000}"/>
    <cellStyle name="Migliaia [0] 24 2 2 2" xfId="5586" xr:uid="{00000000-0005-0000-0000-00001D050000}"/>
    <cellStyle name="Migliaia [0] 24 2 2 3" xfId="6531" xr:uid="{00000000-0005-0000-0000-00001E050000}"/>
    <cellStyle name="Migliaia [0] 24 2 2 4" xfId="4609" xr:uid="{00000000-0005-0000-0000-00001F050000}"/>
    <cellStyle name="Migliaia [0] 24 2 3" xfId="3450" xr:uid="{00000000-0005-0000-0000-000020050000}"/>
    <cellStyle name="Migliaia [0] 24 2 4" xfId="5585" xr:uid="{00000000-0005-0000-0000-000021050000}"/>
    <cellStyle name="Migliaia [0] 24 2 5" xfId="6530" xr:uid="{00000000-0005-0000-0000-000022050000}"/>
    <cellStyle name="Migliaia [0] 24 2 6" xfId="4608" xr:uid="{00000000-0005-0000-0000-000023050000}"/>
    <cellStyle name="Migliaia [0] 24 3" xfId="3451" xr:uid="{00000000-0005-0000-0000-000024050000}"/>
    <cellStyle name="Migliaia [0] 24 3 2" xfId="5587" xr:uid="{00000000-0005-0000-0000-000025050000}"/>
    <cellStyle name="Migliaia [0] 24 3 3" xfId="6532" xr:uid="{00000000-0005-0000-0000-000026050000}"/>
    <cellStyle name="Migliaia [0] 24 3 4" xfId="4610" xr:uid="{00000000-0005-0000-0000-000027050000}"/>
    <cellStyle name="Migliaia [0] 24 4" xfId="3452" xr:uid="{00000000-0005-0000-0000-000028050000}"/>
    <cellStyle name="Migliaia [0] 24 5" xfId="5584" xr:uid="{00000000-0005-0000-0000-000029050000}"/>
    <cellStyle name="Migliaia [0] 24 6" xfId="6529" xr:uid="{00000000-0005-0000-0000-00002A050000}"/>
    <cellStyle name="Migliaia [0] 24 7" xfId="4607" xr:uid="{00000000-0005-0000-0000-00002B050000}"/>
    <cellStyle name="Migliaia [0] 25" xfId="101" xr:uid="{00000000-0005-0000-0000-00002C050000}"/>
    <cellStyle name="Migliaia [0] 25 2" xfId="2032" xr:uid="{00000000-0005-0000-0000-00002D050000}"/>
    <cellStyle name="Migliaia [0] 25 2 2" xfId="3453" xr:uid="{00000000-0005-0000-0000-00002E050000}"/>
    <cellStyle name="Migliaia [0] 25 2 2 2" xfId="5590" xr:uid="{00000000-0005-0000-0000-00002F050000}"/>
    <cellStyle name="Migliaia [0] 25 2 2 3" xfId="6535" xr:uid="{00000000-0005-0000-0000-000030050000}"/>
    <cellStyle name="Migliaia [0] 25 2 2 4" xfId="4613" xr:uid="{00000000-0005-0000-0000-000031050000}"/>
    <cellStyle name="Migliaia [0] 25 2 3" xfId="3454" xr:uid="{00000000-0005-0000-0000-000032050000}"/>
    <cellStyle name="Migliaia [0] 25 2 4" xfId="5589" xr:uid="{00000000-0005-0000-0000-000033050000}"/>
    <cellStyle name="Migliaia [0] 25 2 5" xfId="6534" xr:uid="{00000000-0005-0000-0000-000034050000}"/>
    <cellStyle name="Migliaia [0] 25 2 6" xfId="4612" xr:uid="{00000000-0005-0000-0000-000035050000}"/>
    <cellStyle name="Migliaia [0] 25 3" xfId="3455" xr:uid="{00000000-0005-0000-0000-000036050000}"/>
    <cellStyle name="Migliaia [0] 25 3 2" xfId="5591" xr:uid="{00000000-0005-0000-0000-000037050000}"/>
    <cellStyle name="Migliaia [0] 25 3 3" xfId="6536" xr:uid="{00000000-0005-0000-0000-000038050000}"/>
    <cellStyle name="Migliaia [0] 25 3 4" xfId="4614" xr:uid="{00000000-0005-0000-0000-000039050000}"/>
    <cellStyle name="Migliaia [0] 25 4" xfId="3456" xr:uid="{00000000-0005-0000-0000-00003A050000}"/>
    <cellStyle name="Migliaia [0] 25 5" xfId="5588" xr:uid="{00000000-0005-0000-0000-00003B050000}"/>
    <cellStyle name="Migliaia [0] 25 6" xfId="6533" xr:uid="{00000000-0005-0000-0000-00003C050000}"/>
    <cellStyle name="Migliaia [0] 25 7" xfId="4611" xr:uid="{00000000-0005-0000-0000-00003D050000}"/>
    <cellStyle name="Migliaia [0] 26" xfId="102" xr:uid="{00000000-0005-0000-0000-00003E050000}"/>
    <cellStyle name="Migliaia [0] 26 2" xfId="2033" xr:uid="{00000000-0005-0000-0000-00003F050000}"/>
    <cellStyle name="Migliaia [0] 26 2 2" xfId="3457" xr:uid="{00000000-0005-0000-0000-000040050000}"/>
    <cellStyle name="Migliaia [0] 26 2 2 2" xfId="5594" xr:uid="{00000000-0005-0000-0000-000041050000}"/>
    <cellStyle name="Migliaia [0] 26 2 2 3" xfId="6539" xr:uid="{00000000-0005-0000-0000-000042050000}"/>
    <cellStyle name="Migliaia [0] 26 2 2 4" xfId="4617" xr:uid="{00000000-0005-0000-0000-000043050000}"/>
    <cellStyle name="Migliaia [0] 26 2 3" xfId="3458" xr:uid="{00000000-0005-0000-0000-000044050000}"/>
    <cellStyle name="Migliaia [0] 26 2 4" xfId="5593" xr:uid="{00000000-0005-0000-0000-000045050000}"/>
    <cellStyle name="Migliaia [0] 26 2 5" xfId="6538" xr:uid="{00000000-0005-0000-0000-000046050000}"/>
    <cellStyle name="Migliaia [0] 26 2 6" xfId="4616" xr:uid="{00000000-0005-0000-0000-000047050000}"/>
    <cellStyle name="Migliaia [0] 26 3" xfId="3459" xr:uid="{00000000-0005-0000-0000-000048050000}"/>
    <cellStyle name="Migliaia [0] 26 3 2" xfId="5595" xr:uid="{00000000-0005-0000-0000-000049050000}"/>
    <cellStyle name="Migliaia [0] 26 3 3" xfId="6540" xr:uid="{00000000-0005-0000-0000-00004A050000}"/>
    <cellStyle name="Migliaia [0] 26 3 4" xfId="4618" xr:uid="{00000000-0005-0000-0000-00004B050000}"/>
    <cellStyle name="Migliaia [0] 26 4" xfId="3460" xr:uid="{00000000-0005-0000-0000-00004C050000}"/>
    <cellStyle name="Migliaia [0] 26 5" xfId="5592" xr:uid="{00000000-0005-0000-0000-00004D050000}"/>
    <cellStyle name="Migliaia [0] 26 6" xfId="6537" xr:uid="{00000000-0005-0000-0000-00004E050000}"/>
    <cellStyle name="Migliaia [0] 26 7" xfId="4615" xr:uid="{00000000-0005-0000-0000-00004F050000}"/>
    <cellStyle name="Migliaia [0] 27" xfId="103" xr:uid="{00000000-0005-0000-0000-000050050000}"/>
    <cellStyle name="Migliaia [0] 27 2" xfId="2034" xr:uid="{00000000-0005-0000-0000-000051050000}"/>
    <cellStyle name="Migliaia [0] 27 2 2" xfId="3461" xr:uid="{00000000-0005-0000-0000-000052050000}"/>
    <cellStyle name="Migliaia [0] 27 2 2 2" xfId="5598" xr:uid="{00000000-0005-0000-0000-000053050000}"/>
    <cellStyle name="Migliaia [0] 27 2 2 3" xfId="6543" xr:uid="{00000000-0005-0000-0000-000054050000}"/>
    <cellStyle name="Migliaia [0] 27 2 2 4" xfId="4621" xr:uid="{00000000-0005-0000-0000-000055050000}"/>
    <cellStyle name="Migliaia [0] 27 2 3" xfId="3462" xr:uid="{00000000-0005-0000-0000-000056050000}"/>
    <cellStyle name="Migliaia [0] 27 2 4" xfId="5597" xr:uid="{00000000-0005-0000-0000-000057050000}"/>
    <cellStyle name="Migliaia [0] 27 2 5" xfId="6542" xr:uid="{00000000-0005-0000-0000-000058050000}"/>
    <cellStyle name="Migliaia [0] 27 2 6" xfId="4620" xr:uid="{00000000-0005-0000-0000-000059050000}"/>
    <cellStyle name="Migliaia [0] 27 3" xfId="3463" xr:uid="{00000000-0005-0000-0000-00005A050000}"/>
    <cellStyle name="Migliaia [0] 27 3 2" xfId="5599" xr:uid="{00000000-0005-0000-0000-00005B050000}"/>
    <cellStyle name="Migliaia [0] 27 3 3" xfId="6544" xr:uid="{00000000-0005-0000-0000-00005C050000}"/>
    <cellStyle name="Migliaia [0] 27 3 4" xfId="4622" xr:uid="{00000000-0005-0000-0000-00005D050000}"/>
    <cellStyle name="Migliaia [0] 27 4" xfId="3464" xr:uid="{00000000-0005-0000-0000-00005E050000}"/>
    <cellStyle name="Migliaia [0] 27 5" xfId="5596" xr:uid="{00000000-0005-0000-0000-00005F050000}"/>
    <cellStyle name="Migliaia [0] 27 6" xfId="6541" xr:uid="{00000000-0005-0000-0000-000060050000}"/>
    <cellStyle name="Migliaia [0] 27 7" xfId="4619" xr:uid="{00000000-0005-0000-0000-000061050000}"/>
    <cellStyle name="Migliaia [0] 28" xfId="104" xr:uid="{00000000-0005-0000-0000-000062050000}"/>
    <cellStyle name="Migliaia [0] 28 2" xfId="2035" xr:uid="{00000000-0005-0000-0000-000063050000}"/>
    <cellStyle name="Migliaia [0] 28 2 2" xfId="3465" xr:uid="{00000000-0005-0000-0000-000064050000}"/>
    <cellStyle name="Migliaia [0] 28 2 2 2" xfId="5602" xr:uid="{00000000-0005-0000-0000-000065050000}"/>
    <cellStyle name="Migliaia [0] 28 2 2 3" xfId="6547" xr:uid="{00000000-0005-0000-0000-000066050000}"/>
    <cellStyle name="Migliaia [0] 28 2 2 4" xfId="4625" xr:uid="{00000000-0005-0000-0000-000067050000}"/>
    <cellStyle name="Migliaia [0] 28 2 3" xfId="3466" xr:uid="{00000000-0005-0000-0000-000068050000}"/>
    <cellStyle name="Migliaia [0] 28 2 4" xfId="5601" xr:uid="{00000000-0005-0000-0000-000069050000}"/>
    <cellStyle name="Migliaia [0] 28 2 5" xfId="6546" xr:uid="{00000000-0005-0000-0000-00006A050000}"/>
    <cellStyle name="Migliaia [0] 28 2 6" xfId="4624" xr:uid="{00000000-0005-0000-0000-00006B050000}"/>
    <cellStyle name="Migliaia [0] 28 3" xfId="3467" xr:uid="{00000000-0005-0000-0000-00006C050000}"/>
    <cellStyle name="Migliaia [0] 28 3 2" xfId="5603" xr:uid="{00000000-0005-0000-0000-00006D050000}"/>
    <cellStyle name="Migliaia [0] 28 3 3" xfId="6548" xr:uid="{00000000-0005-0000-0000-00006E050000}"/>
    <cellStyle name="Migliaia [0] 28 3 4" xfId="4626" xr:uid="{00000000-0005-0000-0000-00006F050000}"/>
    <cellStyle name="Migliaia [0] 28 4" xfId="3468" xr:uid="{00000000-0005-0000-0000-000070050000}"/>
    <cellStyle name="Migliaia [0] 28 5" xfId="5600" xr:uid="{00000000-0005-0000-0000-000071050000}"/>
    <cellStyle name="Migliaia [0] 28 6" xfId="6545" xr:uid="{00000000-0005-0000-0000-000072050000}"/>
    <cellStyle name="Migliaia [0] 28 7" xfId="4623" xr:uid="{00000000-0005-0000-0000-000073050000}"/>
    <cellStyle name="Migliaia [0] 29" xfId="105" xr:uid="{00000000-0005-0000-0000-000074050000}"/>
    <cellStyle name="Migliaia [0] 29 2" xfId="2036" xr:uid="{00000000-0005-0000-0000-000075050000}"/>
    <cellStyle name="Migliaia [0] 29 2 2" xfId="3469" xr:uid="{00000000-0005-0000-0000-000076050000}"/>
    <cellStyle name="Migliaia [0] 29 2 2 2" xfId="5606" xr:uid="{00000000-0005-0000-0000-000077050000}"/>
    <cellStyle name="Migliaia [0] 29 2 2 3" xfId="6551" xr:uid="{00000000-0005-0000-0000-000078050000}"/>
    <cellStyle name="Migliaia [0] 29 2 2 4" xfId="4629" xr:uid="{00000000-0005-0000-0000-000079050000}"/>
    <cellStyle name="Migliaia [0] 29 2 3" xfId="3470" xr:uid="{00000000-0005-0000-0000-00007A050000}"/>
    <cellStyle name="Migliaia [0] 29 2 4" xfId="5605" xr:uid="{00000000-0005-0000-0000-00007B050000}"/>
    <cellStyle name="Migliaia [0] 29 2 5" xfId="6550" xr:uid="{00000000-0005-0000-0000-00007C050000}"/>
    <cellStyle name="Migliaia [0] 29 2 6" xfId="4628" xr:uid="{00000000-0005-0000-0000-00007D050000}"/>
    <cellStyle name="Migliaia [0] 29 3" xfId="3471" xr:uid="{00000000-0005-0000-0000-00007E050000}"/>
    <cellStyle name="Migliaia [0] 29 3 2" xfId="5607" xr:uid="{00000000-0005-0000-0000-00007F050000}"/>
    <cellStyle name="Migliaia [0] 29 3 3" xfId="6552" xr:uid="{00000000-0005-0000-0000-000080050000}"/>
    <cellStyle name="Migliaia [0] 29 3 4" xfId="4630" xr:uid="{00000000-0005-0000-0000-000081050000}"/>
    <cellStyle name="Migliaia [0] 29 4" xfId="3472" xr:uid="{00000000-0005-0000-0000-000082050000}"/>
    <cellStyle name="Migliaia [0] 29 5" xfId="5604" xr:uid="{00000000-0005-0000-0000-000083050000}"/>
    <cellStyle name="Migliaia [0] 29 6" xfId="6549" xr:uid="{00000000-0005-0000-0000-000084050000}"/>
    <cellStyle name="Migliaia [0] 29 7" xfId="4627" xr:uid="{00000000-0005-0000-0000-000085050000}"/>
    <cellStyle name="Migliaia [0] 3" xfId="106" xr:uid="{00000000-0005-0000-0000-000086050000}"/>
    <cellStyle name="Migliaia [0] 3 2" xfId="2037" xr:uid="{00000000-0005-0000-0000-000087050000}"/>
    <cellStyle name="Migliaia [0] 3 2 2" xfId="3473" xr:uid="{00000000-0005-0000-0000-000088050000}"/>
    <cellStyle name="Migliaia [0] 3 2 2 2" xfId="5610" xr:uid="{00000000-0005-0000-0000-000089050000}"/>
    <cellStyle name="Migliaia [0] 3 2 2 3" xfId="6555" xr:uid="{00000000-0005-0000-0000-00008A050000}"/>
    <cellStyle name="Migliaia [0] 3 2 2 4" xfId="4633" xr:uid="{00000000-0005-0000-0000-00008B050000}"/>
    <cellStyle name="Migliaia [0] 3 2 3" xfId="3474" xr:uid="{00000000-0005-0000-0000-00008C050000}"/>
    <cellStyle name="Migliaia [0] 3 2 4" xfId="5609" xr:uid="{00000000-0005-0000-0000-00008D050000}"/>
    <cellStyle name="Migliaia [0] 3 2 5" xfId="6554" xr:uid="{00000000-0005-0000-0000-00008E050000}"/>
    <cellStyle name="Migliaia [0] 3 2 6" xfId="4632" xr:uid="{00000000-0005-0000-0000-00008F050000}"/>
    <cellStyle name="Migliaia [0] 3 3" xfId="3475" xr:uid="{00000000-0005-0000-0000-000090050000}"/>
    <cellStyle name="Migliaia [0] 3 3 2" xfId="5611" xr:uid="{00000000-0005-0000-0000-000091050000}"/>
    <cellStyle name="Migliaia [0] 3 3 3" xfId="6556" xr:uid="{00000000-0005-0000-0000-000092050000}"/>
    <cellStyle name="Migliaia [0] 3 3 4" xfId="4634" xr:uid="{00000000-0005-0000-0000-000093050000}"/>
    <cellStyle name="Migliaia [0] 3 4" xfId="3476" xr:uid="{00000000-0005-0000-0000-000094050000}"/>
    <cellStyle name="Migliaia [0] 3 5" xfId="5608" xr:uid="{00000000-0005-0000-0000-000095050000}"/>
    <cellStyle name="Migliaia [0] 3 6" xfId="6553" xr:uid="{00000000-0005-0000-0000-000096050000}"/>
    <cellStyle name="Migliaia [0] 3 7" xfId="4631" xr:uid="{00000000-0005-0000-0000-000097050000}"/>
    <cellStyle name="Migliaia [0] 30" xfId="107" xr:uid="{00000000-0005-0000-0000-000098050000}"/>
    <cellStyle name="Migliaia [0] 30 2" xfId="2038" xr:uid="{00000000-0005-0000-0000-000099050000}"/>
    <cellStyle name="Migliaia [0] 30 2 2" xfId="3477" xr:uid="{00000000-0005-0000-0000-00009A050000}"/>
    <cellStyle name="Migliaia [0] 30 2 2 2" xfId="5614" xr:uid="{00000000-0005-0000-0000-00009B050000}"/>
    <cellStyle name="Migliaia [0] 30 2 2 3" xfId="6559" xr:uid="{00000000-0005-0000-0000-00009C050000}"/>
    <cellStyle name="Migliaia [0] 30 2 2 4" xfId="4637" xr:uid="{00000000-0005-0000-0000-00009D050000}"/>
    <cellStyle name="Migliaia [0] 30 2 3" xfId="3478" xr:uid="{00000000-0005-0000-0000-00009E050000}"/>
    <cellStyle name="Migliaia [0] 30 2 4" xfId="5613" xr:uid="{00000000-0005-0000-0000-00009F050000}"/>
    <cellStyle name="Migliaia [0] 30 2 5" xfId="6558" xr:uid="{00000000-0005-0000-0000-0000A0050000}"/>
    <cellStyle name="Migliaia [0] 30 2 6" xfId="4636" xr:uid="{00000000-0005-0000-0000-0000A1050000}"/>
    <cellStyle name="Migliaia [0] 30 3" xfId="3479" xr:uid="{00000000-0005-0000-0000-0000A2050000}"/>
    <cellStyle name="Migliaia [0] 30 3 2" xfId="5615" xr:uid="{00000000-0005-0000-0000-0000A3050000}"/>
    <cellStyle name="Migliaia [0] 30 3 3" xfId="6560" xr:uid="{00000000-0005-0000-0000-0000A4050000}"/>
    <cellStyle name="Migliaia [0] 30 3 4" xfId="4638" xr:uid="{00000000-0005-0000-0000-0000A5050000}"/>
    <cellStyle name="Migliaia [0] 30 4" xfId="3480" xr:uid="{00000000-0005-0000-0000-0000A6050000}"/>
    <cellStyle name="Migliaia [0] 30 5" xfId="5612" xr:uid="{00000000-0005-0000-0000-0000A7050000}"/>
    <cellStyle name="Migliaia [0] 30 6" xfId="6557" xr:uid="{00000000-0005-0000-0000-0000A8050000}"/>
    <cellStyle name="Migliaia [0] 30 7" xfId="4635" xr:uid="{00000000-0005-0000-0000-0000A9050000}"/>
    <cellStyle name="Migliaia [0] 31" xfId="108" xr:uid="{00000000-0005-0000-0000-0000AA050000}"/>
    <cellStyle name="Migliaia [0] 31 2" xfId="2039" xr:uid="{00000000-0005-0000-0000-0000AB050000}"/>
    <cellStyle name="Migliaia [0] 31 2 2" xfId="3481" xr:uid="{00000000-0005-0000-0000-0000AC050000}"/>
    <cellStyle name="Migliaia [0] 31 2 2 2" xfId="5618" xr:uid="{00000000-0005-0000-0000-0000AD050000}"/>
    <cellStyle name="Migliaia [0] 31 2 2 3" xfId="6563" xr:uid="{00000000-0005-0000-0000-0000AE050000}"/>
    <cellStyle name="Migliaia [0] 31 2 2 4" xfId="4641" xr:uid="{00000000-0005-0000-0000-0000AF050000}"/>
    <cellStyle name="Migliaia [0] 31 2 3" xfId="3482" xr:uid="{00000000-0005-0000-0000-0000B0050000}"/>
    <cellStyle name="Migliaia [0] 31 2 4" xfId="5617" xr:uid="{00000000-0005-0000-0000-0000B1050000}"/>
    <cellStyle name="Migliaia [0] 31 2 5" xfId="6562" xr:uid="{00000000-0005-0000-0000-0000B2050000}"/>
    <cellStyle name="Migliaia [0] 31 2 6" xfId="4640" xr:uid="{00000000-0005-0000-0000-0000B3050000}"/>
    <cellStyle name="Migliaia [0] 31 3" xfId="3483" xr:uid="{00000000-0005-0000-0000-0000B4050000}"/>
    <cellStyle name="Migliaia [0] 31 3 2" xfId="5619" xr:uid="{00000000-0005-0000-0000-0000B5050000}"/>
    <cellStyle name="Migliaia [0] 31 3 3" xfId="6564" xr:uid="{00000000-0005-0000-0000-0000B6050000}"/>
    <cellStyle name="Migliaia [0] 31 3 4" xfId="4642" xr:uid="{00000000-0005-0000-0000-0000B7050000}"/>
    <cellStyle name="Migliaia [0] 31 4" xfId="3484" xr:uid="{00000000-0005-0000-0000-0000B8050000}"/>
    <cellStyle name="Migliaia [0] 31 5" xfId="5616" xr:uid="{00000000-0005-0000-0000-0000B9050000}"/>
    <cellStyle name="Migliaia [0] 31 6" xfId="6561" xr:uid="{00000000-0005-0000-0000-0000BA050000}"/>
    <cellStyle name="Migliaia [0] 31 7" xfId="4639" xr:uid="{00000000-0005-0000-0000-0000BB050000}"/>
    <cellStyle name="Migliaia [0] 32" xfId="109" xr:uid="{00000000-0005-0000-0000-0000BC050000}"/>
    <cellStyle name="Migliaia [0] 32 2" xfId="2040" xr:uid="{00000000-0005-0000-0000-0000BD050000}"/>
    <cellStyle name="Migliaia [0] 32 2 2" xfId="3485" xr:uid="{00000000-0005-0000-0000-0000BE050000}"/>
    <cellStyle name="Migliaia [0] 32 2 2 2" xfId="5622" xr:uid="{00000000-0005-0000-0000-0000BF050000}"/>
    <cellStyle name="Migliaia [0] 32 2 2 3" xfId="6567" xr:uid="{00000000-0005-0000-0000-0000C0050000}"/>
    <cellStyle name="Migliaia [0] 32 2 2 4" xfId="4645" xr:uid="{00000000-0005-0000-0000-0000C1050000}"/>
    <cellStyle name="Migliaia [0] 32 2 3" xfId="3486" xr:uid="{00000000-0005-0000-0000-0000C2050000}"/>
    <cellStyle name="Migliaia [0] 32 2 4" xfId="5621" xr:uid="{00000000-0005-0000-0000-0000C3050000}"/>
    <cellStyle name="Migliaia [0] 32 2 5" xfId="6566" xr:uid="{00000000-0005-0000-0000-0000C4050000}"/>
    <cellStyle name="Migliaia [0] 32 2 6" xfId="4644" xr:uid="{00000000-0005-0000-0000-0000C5050000}"/>
    <cellStyle name="Migliaia [0] 32 3" xfId="3487" xr:uid="{00000000-0005-0000-0000-0000C6050000}"/>
    <cellStyle name="Migliaia [0] 32 3 2" xfId="5623" xr:uid="{00000000-0005-0000-0000-0000C7050000}"/>
    <cellStyle name="Migliaia [0] 32 3 3" xfId="6568" xr:uid="{00000000-0005-0000-0000-0000C8050000}"/>
    <cellStyle name="Migliaia [0] 32 3 4" xfId="4646" xr:uid="{00000000-0005-0000-0000-0000C9050000}"/>
    <cellStyle name="Migliaia [0] 32 4" xfId="3488" xr:uid="{00000000-0005-0000-0000-0000CA050000}"/>
    <cellStyle name="Migliaia [0] 32 5" xfId="5620" xr:uid="{00000000-0005-0000-0000-0000CB050000}"/>
    <cellStyle name="Migliaia [0] 32 6" xfId="6565" xr:uid="{00000000-0005-0000-0000-0000CC050000}"/>
    <cellStyle name="Migliaia [0] 32 7" xfId="4643" xr:uid="{00000000-0005-0000-0000-0000CD050000}"/>
    <cellStyle name="Migliaia [0] 33" xfId="110" xr:uid="{00000000-0005-0000-0000-0000CE050000}"/>
    <cellStyle name="Migliaia [0] 33 2" xfId="2041" xr:uid="{00000000-0005-0000-0000-0000CF050000}"/>
    <cellStyle name="Migliaia [0] 33 2 2" xfId="3489" xr:uid="{00000000-0005-0000-0000-0000D0050000}"/>
    <cellStyle name="Migliaia [0] 33 2 2 2" xfId="5626" xr:uid="{00000000-0005-0000-0000-0000D1050000}"/>
    <cellStyle name="Migliaia [0] 33 2 2 3" xfId="6571" xr:uid="{00000000-0005-0000-0000-0000D2050000}"/>
    <cellStyle name="Migliaia [0] 33 2 2 4" xfId="4649" xr:uid="{00000000-0005-0000-0000-0000D3050000}"/>
    <cellStyle name="Migliaia [0] 33 2 3" xfId="3490" xr:uid="{00000000-0005-0000-0000-0000D4050000}"/>
    <cellStyle name="Migliaia [0] 33 2 4" xfId="5625" xr:uid="{00000000-0005-0000-0000-0000D5050000}"/>
    <cellStyle name="Migliaia [0] 33 2 5" xfId="6570" xr:uid="{00000000-0005-0000-0000-0000D6050000}"/>
    <cellStyle name="Migliaia [0] 33 2 6" xfId="4648" xr:uid="{00000000-0005-0000-0000-0000D7050000}"/>
    <cellStyle name="Migliaia [0] 33 3" xfId="3491" xr:uid="{00000000-0005-0000-0000-0000D8050000}"/>
    <cellStyle name="Migliaia [0] 33 3 2" xfId="5627" xr:uid="{00000000-0005-0000-0000-0000D9050000}"/>
    <cellStyle name="Migliaia [0] 33 3 3" xfId="6572" xr:uid="{00000000-0005-0000-0000-0000DA050000}"/>
    <cellStyle name="Migliaia [0] 33 3 4" xfId="4650" xr:uid="{00000000-0005-0000-0000-0000DB050000}"/>
    <cellStyle name="Migliaia [0] 33 4" xfId="3492" xr:uid="{00000000-0005-0000-0000-0000DC050000}"/>
    <cellStyle name="Migliaia [0] 33 5" xfId="5624" xr:uid="{00000000-0005-0000-0000-0000DD050000}"/>
    <cellStyle name="Migliaia [0] 33 6" xfId="6569" xr:uid="{00000000-0005-0000-0000-0000DE050000}"/>
    <cellStyle name="Migliaia [0] 33 7" xfId="4647" xr:uid="{00000000-0005-0000-0000-0000DF050000}"/>
    <cellStyle name="Migliaia [0] 34" xfId="111" xr:uid="{00000000-0005-0000-0000-0000E0050000}"/>
    <cellStyle name="Migliaia [0] 34 2" xfId="2042" xr:uid="{00000000-0005-0000-0000-0000E1050000}"/>
    <cellStyle name="Migliaia [0] 34 2 2" xfId="3493" xr:uid="{00000000-0005-0000-0000-0000E2050000}"/>
    <cellStyle name="Migliaia [0] 34 2 2 2" xfId="5630" xr:uid="{00000000-0005-0000-0000-0000E3050000}"/>
    <cellStyle name="Migliaia [0] 34 2 2 3" xfId="6575" xr:uid="{00000000-0005-0000-0000-0000E4050000}"/>
    <cellStyle name="Migliaia [0] 34 2 2 4" xfId="4653" xr:uid="{00000000-0005-0000-0000-0000E5050000}"/>
    <cellStyle name="Migliaia [0] 34 2 3" xfId="3494" xr:uid="{00000000-0005-0000-0000-0000E6050000}"/>
    <cellStyle name="Migliaia [0] 34 2 4" xfId="5629" xr:uid="{00000000-0005-0000-0000-0000E7050000}"/>
    <cellStyle name="Migliaia [0] 34 2 5" xfId="6574" xr:uid="{00000000-0005-0000-0000-0000E8050000}"/>
    <cellStyle name="Migliaia [0] 34 2 6" xfId="4652" xr:uid="{00000000-0005-0000-0000-0000E9050000}"/>
    <cellStyle name="Migliaia [0] 34 3" xfId="3495" xr:uid="{00000000-0005-0000-0000-0000EA050000}"/>
    <cellStyle name="Migliaia [0] 34 3 2" xfId="5631" xr:uid="{00000000-0005-0000-0000-0000EB050000}"/>
    <cellStyle name="Migliaia [0] 34 3 3" xfId="6576" xr:uid="{00000000-0005-0000-0000-0000EC050000}"/>
    <cellStyle name="Migliaia [0] 34 3 4" xfId="4654" xr:uid="{00000000-0005-0000-0000-0000ED050000}"/>
    <cellStyle name="Migliaia [0] 34 4" xfId="3496" xr:uid="{00000000-0005-0000-0000-0000EE050000}"/>
    <cellStyle name="Migliaia [0] 34 5" xfId="5628" xr:uid="{00000000-0005-0000-0000-0000EF050000}"/>
    <cellStyle name="Migliaia [0] 34 6" xfId="6573" xr:uid="{00000000-0005-0000-0000-0000F0050000}"/>
    <cellStyle name="Migliaia [0] 34 7" xfId="4651" xr:uid="{00000000-0005-0000-0000-0000F1050000}"/>
    <cellStyle name="Migliaia [0] 35" xfId="112" xr:uid="{00000000-0005-0000-0000-0000F2050000}"/>
    <cellStyle name="Migliaia [0] 35 2" xfId="2043" xr:uid="{00000000-0005-0000-0000-0000F3050000}"/>
    <cellStyle name="Migliaia [0] 35 2 2" xfId="3497" xr:uid="{00000000-0005-0000-0000-0000F4050000}"/>
    <cellStyle name="Migliaia [0] 35 2 2 2" xfId="5634" xr:uid="{00000000-0005-0000-0000-0000F5050000}"/>
    <cellStyle name="Migliaia [0] 35 2 2 3" xfId="6579" xr:uid="{00000000-0005-0000-0000-0000F6050000}"/>
    <cellStyle name="Migliaia [0] 35 2 2 4" xfId="4657" xr:uid="{00000000-0005-0000-0000-0000F7050000}"/>
    <cellStyle name="Migliaia [0] 35 2 3" xfId="3498" xr:uid="{00000000-0005-0000-0000-0000F8050000}"/>
    <cellStyle name="Migliaia [0] 35 2 4" xfId="5633" xr:uid="{00000000-0005-0000-0000-0000F9050000}"/>
    <cellStyle name="Migliaia [0] 35 2 5" xfId="6578" xr:uid="{00000000-0005-0000-0000-0000FA050000}"/>
    <cellStyle name="Migliaia [0] 35 2 6" xfId="4656" xr:uid="{00000000-0005-0000-0000-0000FB050000}"/>
    <cellStyle name="Migliaia [0] 35 3" xfId="3499" xr:uid="{00000000-0005-0000-0000-0000FC050000}"/>
    <cellStyle name="Migliaia [0] 35 3 2" xfId="5635" xr:uid="{00000000-0005-0000-0000-0000FD050000}"/>
    <cellStyle name="Migliaia [0] 35 3 3" xfId="6580" xr:uid="{00000000-0005-0000-0000-0000FE050000}"/>
    <cellStyle name="Migliaia [0] 35 3 4" xfId="4658" xr:uid="{00000000-0005-0000-0000-0000FF050000}"/>
    <cellStyle name="Migliaia [0] 35 4" xfId="3500" xr:uid="{00000000-0005-0000-0000-000000060000}"/>
    <cellStyle name="Migliaia [0] 35 5" xfId="5632" xr:uid="{00000000-0005-0000-0000-000001060000}"/>
    <cellStyle name="Migliaia [0] 35 6" xfId="6577" xr:uid="{00000000-0005-0000-0000-000002060000}"/>
    <cellStyle name="Migliaia [0] 35 7" xfId="4655" xr:uid="{00000000-0005-0000-0000-000003060000}"/>
    <cellStyle name="Migliaia [0] 36" xfId="113" xr:uid="{00000000-0005-0000-0000-000004060000}"/>
    <cellStyle name="Migliaia [0] 36 2" xfId="2044" xr:uid="{00000000-0005-0000-0000-000005060000}"/>
    <cellStyle name="Migliaia [0] 36 2 2" xfId="3501" xr:uid="{00000000-0005-0000-0000-000006060000}"/>
    <cellStyle name="Migliaia [0] 36 2 2 2" xfId="5638" xr:uid="{00000000-0005-0000-0000-000007060000}"/>
    <cellStyle name="Migliaia [0] 36 2 2 3" xfId="6583" xr:uid="{00000000-0005-0000-0000-000008060000}"/>
    <cellStyle name="Migliaia [0] 36 2 2 4" xfId="4661" xr:uid="{00000000-0005-0000-0000-000009060000}"/>
    <cellStyle name="Migliaia [0] 36 2 3" xfId="3502" xr:uid="{00000000-0005-0000-0000-00000A060000}"/>
    <cellStyle name="Migliaia [0] 36 2 4" xfId="5637" xr:uid="{00000000-0005-0000-0000-00000B060000}"/>
    <cellStyle name="Migliaia [0] 36 2 5" xfId="6582" xr:uid="{00000000-0005-0000-0000-00000C060000}"/>
    <cellStyle name="Migliaia [0] 36 2 6" xfId="4660" xr:uid="{00000000-0005-0000-0000-00000D060000}"/>
    <cellStyle name="Migliaia [0] 36 3" xfId="3503" xr:uid="{00000000-0005-0000-0000-00000E060000}"/>
    <cellStyle name="Migliaia [0] 36 3 2" xfId="5639" xr:uid="{00000000-0005-0000-0000-00000F060000}"/>
    <cellStyle name="Migliaia [0] 36 3 3" xfId="6584" xr:uid="{00000000-0005-0000-0000-000010060000}"/>
    <cellStyle name="Migliaia [0] 36 3 4" xfId="4662" xr:uid="{00000000-0005-0000-0000-000011060000}"/>
    <cellStyle name="Migliaia [0] 36 4" xfId="3504" xr:uid="{00000000-0005-0000-0000-000012060000}"/>
    <cellStyle name="Migliaia [0] 36 5" xfId="5636" xr:uid="{00000000-0005-0000-0000-000013060000}"/>
    <cellStyle name="Migliaia [0] 36 6" xfId="6581" xr:uid="{00000000-0005-0000-0000-000014060000}"/>
    <cellStyle name="Migliaia [0] 36 7" xfId="4659" xr:uid="{00000000-0005-0000-0000-000015060000}"/>
    <cellStyle name="Migliaia [0] 37" xfId="114" xr:uid="{00000000-0005-0000-0000-000016060000}"/>
    <cellStyle name="Migliaia [0] 37 2" xfId="2045" xr:uid="{00000000-0005-0000-0000-000017060000}"/>
    <cellStyle name="Migliaia [0] 37 2 2" xfId="3505" xr:uid="{00000000-0005-0000-0000-000018060000}"/>
    <cellStyle name="Migliaia [0] 37 2 2 2" xfId="5642" xr:uid="{00000000-0005-0000-0000-000019060000}"/>
    <cellStyle name="Migliaia [0] 37 2 2 3" xfId="6587" xr:uid="{00000000-0005-0000-0000-00001A060000}"/>
    <cellStyle name="Migliaia [0] 37 2 2 4" xfId="4665" xr:uid="{00000000-0005-0000-0000-00001B060000}"/>
    <cellStyle name="Migliaia [0] 37 2 3" xfId="3506" xr:uid="{00000000-0005-0000-0000-00001C060000}"/>
    <cellStyle name="Migliaia [0] 37 2 4" xfId="5641" xr:uid="{00000000-0005-0000-0000-00001D060000}"/>
    <cellStyle name="Migliaia [0] 37 2 5" xfId="6586" xr:uid="{00000000-0005-0000-0000-00001E060000}"/>
    <cellStyle name="Migliaia [0] 37 2 6" xfId="4664" xr:uid="{00000000-0005-0000-0000-00001F060000}"/>
    <cellStyle name="Migliaia [0] 37 3" xfId="3507" xr:uid="{00000000-0005-0000-0000-000020060000}"/>
    <cellStyle name="Migliaia [0] 37 3 2" xfId="5643" xr:uid="{00000000-0005-0000-0000-000021060000}"/>
    <cellStyle name="Migliaia [0] 37 3 3" xfId="6588" xr:uid="{00000000-0005-0000-0000-000022060000}"/>
    <cellStyle name="Migliaia [0] 37 3 4" xfId="4666" xr:uid="{00000000-0005-0000-0000-000023060000}"/>
    <cellStyle name="Migliaia [0] 37 4" xfId="3508" xr:uid="{00000000-0005-0000-0000-000024060000}"/>
    <cellStyle name="Migliaia [0] 37 5" xfId="5640" xr:uid="{00000000-0005-0000-0000-000025060000}"/>
    <cellStyle name="Migliaia [0] 37 6" xfId="6585" xr:uid="{00000000-0005-0000-0000-000026060000}"/>
    <cellStyle name="Migliaia [0] 37 7" xfId="4663" xr:uid="{00000000-0005-0000-0000-000027060000}"/>
    <cellStyle name="Migliaia [0] 38" xfId="115" xr:uid="{00000000-0005-0000-0000-000028060000}"/>
    <cellStyle name="Migliaia [0] 38 2" xfId="2046" xr:uid="{00000000-0005-0000-0000-000029060000}"/>
    <cellStyle name="Migliaia [0] 38 2 2" xfId="3509" xr:uid="{00000000-0005-0000-0000-00002A060000}"/>
    <cellStyle name="Migliaia [0] 38 2 2 2" xfId="5646" xr:uid="{00000000-0005-0000-0000-00002B060000}"/>
    <cellStyle name="Migliaia [0] 38 2 2 3" xfId="6591" xr:uid="{00000000-0005-0000-0000-00002C060000}"/>
    <cellStyle name="Migliaia [0] 38 2 2 4" xfId="4669" xr:uid="{00000000-0005-0000-0000-00002D060000}"/>
    <cellStyle name="Migliaia [0] 38 2 3" xfId="3510" xr:uid="{00000000-0005-0000-0000-00002E060000}"/>
    <cellStyle name="Migliaia [0] 38 2 4" xfId="5645" xr:uid="{00000000-0005-0000-0000-00002F060000}"/>
    <cellStyle name="Migliaia [0] 38 2 5" xfId="6590" xr:uid="{00000000-0005-0000-0000-000030060000}"/>
    <cellStyle name="Migliaia [0] 38 2 6" xfId="4668" xr:uid="{00000000-0005-0000-0000-000031060000}"/>
    <cellStyle name="Migliaia [0] 38 3" xfId="3511" xr:uid="{00000000-0005-0000-0000-000032060000}"/>
    <cellStyle name="Migliaia [0] 38 3 2" xfId="5647" xr:uid="{00000000-0005-0000-0000-000033060000}"/>
    <cellStyle name="Migliaia [0] 38 3 3" xfId="6592" xr:uid="{00000000-0005-0000-0000-000034060000}"/>
    <cellStyle name="Migliaia [0] 38 3 4" xfId="4670" xr:uid="{00000000-0005-0000-0000-000035060000}"/>
    <cellStyle name="Migliaia [0] 38 4" xfId="3512" xr:uid="{00000000-0005-0000-0000-000036060000}"/>
    <cellStyle name="Migliaia [0] 38 5" xfId="5644" xr:uid="{00000000-0005-0000-0000-000037060000}"/>
    <cellStyle name="Migliaia [0] 38 6" xfId="6589" xr:uid="{00000000-0005-0000-0000-000038060000}"/>
    <cellStyle name="Migliaia [0] 38 7" xfId="4667" xr:uid="{00000000-0005-0000-0000-000039060000}"/>
    <cellStyle name="Migliaia [0] 39" xfId="116" xr:uid="{00000000-0005-0000-0000-00003A060000}"/>
    <cellStyle name="Migliaia [0] 39 2" xfId="2047" xr:uid="{00000000-0005-0000-0000-00003B060000}"/>
    <cellStyle name="Migliaia [0] 39 2 2" xfId="3513" xr:uid="{00000000-0005-0000-0000-00003C060000}"/>
    <cellStyle name="Migliaia [0] 39 2 2 2" xfId="5650" xr:uid="{00000000-0005-0000-0000-00003D060000}"/>
    <cellStyle name="Migliaia [0] 39 2 2 3" xfId="6595" xr:uid="{00000000-0005-0000-0000-00003E060000}"/>
    <cellStyle name="Migliaia [0] 39 2 2 4" xfId="4673" xr:uid="{00000000-0005-0000-0000-00003F060000}"/>
    <cellStyle name="Migliaia [0] 39 2 3" xfId="3514" xr:uid="{00000000-0005-0000-0000-000040060000}"/>
    <cellStyle name="Migliaia [0] 39 2 4" xfId="5649" xr:uid="{00000000-0005-0000-0000-000041060000}"/>
    <cellStyle name="Migliaia [0] 39 2 5" xfId="6594" xr:uid="{00000000-0005-0000-0000-000042060000}"/>
    <cellStyle name="Migliaia [0] 39 2 6" xfId="4672" xr:uid="{00000000-0005-0000-0000-000043060000}"/>
    <cellStyle name="Migliaia [0] 39 3" xfId="3515" xr:uid="{00000000-0005-0000-0000-000044060000}"/>
    <cellStyle name="Migliaia [0] 39 3 2" xfId="5651" xr:uid="{00000000-0005-0000-0000-000045060000}"/>
    <cellStyle name="Migliaia [0] 39 3 3" xfId="6596" xr:uid="{00000000-0005-0000-0000-000046060000}"/>
    <cellStyle name="Migliaia [0] 39 3 4" xfId="4674" xr:uid="{00000000-0005-0000-0000-000047060000}"/>
    <cellStyle name="Migliaia [0] 39 4" xfId="3516" xr:uid="{00000000-0005-0000-0000-000048060000}"/>
    <cellStyle name="Migliaia [0] 39 5" xfId="5648" xr:uid="{00000000-0005-0000-0000-000049060000}"/>
    <cellStyle name="Migliaia [0] 39 6" xfId="6593" xr:uid="{00000000-0005-0000-0000-00004A060000}"/>
    <cellStyle name="Migliaia [0] 39 7" xfId="4671" xr:uid="{00000000-0005-0000-0000-00004B060000}"/>
    <cellStyle name="Migliaia [0] 4" xfId="117" xr:uid="{00000000-0005-0000-0000-00004C060000}"/>
    <cellStyle name="Migliaia [0] 4 2" xfId="2048" xr:uid="{00000000-0005-0000-0000-00004D060000}"/>
    <cellStyle name="Migliaia [0] 4 2 2" xfId="3517" xr:uid="{00000000-0005-0000-0000-00004E060000}"/>
    <cellStyle name="Migliaia [0] 4 2 2 2" xfId="5654" xr:uid="{00000000-0005-0000-0000-00004F060000}"/>
    <cellStyle name="Migliaia [0] 4 2 2 3" xfId="6599" xr:uid="{00000000-0005-0000-0000-000050060000}"/>
    <cellStyle name="Migliaia [0] 4 2 2 4" xfId="4677" xr:uid="{00000000-0005-0000-0000-000051060000}"/>
    <cellStyle name="Migliaia [0] 4 2 3" xfId="3518" xr:uid="{00000000-0005-0000-0000-000052060000}"/>
    <cellStyle name="Migliaia [0] 4 2 4" xfId="5653" xr:uid="{00000000-0005-0000-0000-000053060000}"/>
    <cellStyle name="Migliaia [0] 4 2 5" xfId="6598" xr:uid="{00000000-0005-0000-0000-000054060000}"/>
    <cellStyle name="Migliaia [0] 4 2 6" xfId="4676" xr:uid="{00000000-0005-0000-0000-000055060000}"/>
    <cellStyle name="Migliaia [0] 4 3" xfId="3519" xr:uid="{00000000-0005-0000-0000-000056060000}"/>
    <cellStyle name="Migliaia [0] 4 3 2" xfId="5655" xr:uid="{00000000-0005-0000-0000-000057060000}"/>
    <cellStyle name="Migliaia [0] 4 3 3" xfId="6600" xr:uid="{00000000-0005-0000-0000-000058060000}"/>
    <cellStyle name="Migliaia [0] 4 3 4" xfId="4678" xr:uid="{00000000-0005-0000-0000-000059060000}"/>
    <cellStyle name="Migliaia [0] 4 4" xfId="3520" xr:uid="{00000000-0005-0000-0000-00005A060000}"/>
    <cellStyle name="Migliaia [0] 4 5" xfId="5652" xr:uid="{00000000-0005-0000-0000-00005B060000}"/>
    <cellStyle name="Migliaia [0] 4 6" xfId="6597" xr:uid="{00000000-0005-0000-0000-00005C060000}"/>
    <cellStyle name="Migliaia [0] 4 7" xfId="4675" xr:uid="{00000000-0005-0000-0000-00005D060000}"/>
    <cellStyle name="Migliaia [0] 40" xfId="118" xr:uid="{00000000-0005-0000-0000-00005E060000}"/>
    <cellStyle name="Migliaia [0] 40 2" xfId="2049" xr:uid="{00000000-0005-0000-0000-00005F060000}"/>
    <cellStyle name="Migliaia [0] 40 2 2" xfId="3521" xr:uid="{00000000-0005-0000-0000-000060060000}"/>
    <cellStyle name="Migliaia [0] 40 2 2 2" xfId="5658" xr:uid="{00000000-0005-0000-0000-000061060000}"/>
    <cellStyle name="Migliaia [0] 40 2 2 3" xfId="6603" xr:uid="{00000000-0005-0000-0000-000062060000}"/>
    <cellStyle name="Migliaia [0] 40 2 2 4" xfId="4681" xr:uid="{00000000-0005-0000-0000-000063060000}"/>
    <cellStyle name="Migliaia [0] 40 2 3" xfId="3522" xr:uid="{00000000-0005-0000-0000-000064060000}"/>
    <cellStyle name="Migliaia [0] 40 2 4" xfId="5657" xr:uid="{00000000-0005-0000-0000-000065060000}"/>
    <cellStyle name="Migliaia [0] 40 2 5" xfId="6602" xr:uid="{00000000-0005-0000-0000-000066060000}"/>
    <cellStyle name="Migliaia [0] 40 2 6" xfId="4680" xr:uid="{00000000-0005-0000-0000-000067060000}"/>
    <cellStyle name="Migliaia [0] 40 3" xfId="3523" xr:uid="{00000000-0005-0000-0000-000068060000}"/>
    <cellStyle name="Migliaia [0] 40 3 2" xfId="5659" xr:uid="{00000000-0005-0000-0000-000069060000}"/>
    <cellStyle name="Migliaia [0] 40 3 3" xfId="6604" xr:uid="{00000000-0005-0000-0000-00006A060000}"/>
    <cellStyle name="Migliaia [0] 40 3 4" xfId="4682" xr:uid="{00000000-0005-0000-0000-00006B060000}"/>
    <cellStyle name="Migliaia [0] 40 4" xfId="3524" xr:uid="{00000000-0005-0000-0000-00006C060000}"/>
    <cellStyle name="Migliaia [0] 40 5" xfId="5656" xr:uid="{00000000-0005-0000-0000-00006D060000}"/>
    <cellStyle name="Migliaia [0] 40 6" xfId="6601" xr:uid="{00000000-0005-0000-0000-00006E060000}"/>
    <cellStyle name="Migliaia [0] 40 7" xfId="4679" xr:uid="{00000000-0005-0000-0000-00006F060000}"/>
    <cellStyle name="Migliaia [0] 41" xfId="119" xr:uid="{00000000-0005-0000-0000-000070060000}"/>
    <cellStyle name="Migliaia [0] 41 2" xfId="2050" xr:uid="{00000000-0005-0000-0000-000071060000}"/>
    <cellStyle name="Migliaia [0] 41 2 2" xfId="3525" xr:uid="{00000000-0005-0000-0000-000072060000}"/>
    <cellStyle name="Migliaia [0] 41 2 2 2" xfId="5662" xr:uid="{00000000-0005-0000-0000-000073060000}"/>
    <cellStyle name="Migliaia [0] 41 2 2 3" xfId="6607" xr:uid="{00000000-0005-0000-0000-000074060000}"/>
    <cellStyle name="Migliaia [0] 41 2 2 4" xfId="4685" xr:uid="{00000000-0005-0000-0000-000075060000}"/>
    <cellStyle name="Migliaia [0] 41 2 3" xfId="3526" xr:uid="{00000000-0005-0000-0000-000076060000}"/>
    <cellStyle name="Migliaia [0] 41 2 4" xfId="5661" xr:uid="{00000000-0005-0000-0000-000077060000}"/>
    <cellStyle name="Migliaia [0] 41 2 5" xfId="6606" xr:uid="{00000000-0005-0000-0000-000078060000}"/>
    <cellStyle name="Migliaia [0] 41 2 6" xfId="4684" xr:uid="{00000000-0005-0000-0000-000079060000}"/>
    <cellStyle name="Migliaia [0] 41 3" xfId="3527" xr:uid="{00000000-0005-0000-0000-00007A060000}"/>
    <cellStyle name="Migliaia [0] 41 3 2" xfId="5663" xr:uid="{00000000-0005-0000-0000-00007B060000}"/>
    <cellStyle name="Migliaia [0] 41 3 3" xfId="6608" xr:uid="{00000000-0005-0000-0000-00007C060000}"/>
    <cellStyle name="Migliaia [0] 41 3 4" xfId="4686" xr:uid="{00000000-0005-0000-0000-00007D060000}"/>
    <cellStyle name="Migliaia [0] 41 4" xfId="3528" xr:uid="{00000000-0005-0000-0000-00007E060000}"/>
    <cellStyle name="Migliaia [0] 41 5" xfId="5660" xr:uid="{00000000-0005-0000-0000-00007F060000}"/>
    <cellStyle name="Migliaia [0] 41 6" xfId="6605" xr:uid="{00000000-0005-0000-0000-000080060000}"/>
    <cellStyle name="Migliaia [0] 41 7" xfId="4683" xr:uid="{00000000-0005-0000-0000-000081060000}"/>
    <cellStyle name="Migliaia [0] 42" xfId="120" xr:uid="{00000000-0005-0000-0000-000082060000}"/>
    <cellStyle name="Migliaia [0] 42 2" xfId="2051" xr:uid="{00000000-0005-0000-0000-000083060000}"/>
    <cellStyle name="Migliaia [0] 42 2 2" xfId="3529" xr:uid="{00000000-0005-0000-0000-000084060000}"/>
    <cellStyle name="Migliaia [0] 42 2 2 2" xfId="5666" xr:uid="{00000000-0005-0000-0000-000085060000}"/>
    <cellStyle name="Migliaia [0] 42 2 2 3" xfId="6611" xr:uid="{00000000-0005-0000-0000-000086060000}"/>
    <cellStyle name="Migliaia [0] 42 2 2 4" xfId="4689" xr:uid="{00000000-0005-0000-0000-000087060000}"/>
    <cellStyle name="Migliaia [0] 42 2 3" xfId="3530" xr:uid="{00000000-0005-0000-0000-000088060000}"/>
    <cellStyle name="Migliaia [0] 42 2 4" xfId="5665" xr:uid="{00000000-0005-0000-0000-000089060000}"/>
    <cellStyle name="Migliaia [0] 42 2 5" xfId="6610" xr:uid="{00000000-0005-0000-0000-00008A060000}"/>
    <cellStyle name="Migliaia [0] 42 2 6" xfId="4688" xr:uid="{00000000-0005-0000-0000-00008B060000}"/>
    <cellStyle name="Migliaia [0] 42 3" xfId="3531" xr:uid="{00000000-0005-0000-0000-00008C060000}"/>
    <cellStyle name="Migliaia [0] 42 3 2" xfId="5667" xr:uid="{00000000-0005-0000-0000-00008D060000}"/>
    <cellStyle name="Migliaia [0] 42 3 3" xfId="6612" xr:uid="{00000000-0005-0000-0000-00008E060000}"/>
    <cellStyle name="Migliaia [0] 42 3 4" xfId="4690" xr:uid="{00000000-0005-0000-0000-00008F060000}"/>
    <cellStyle name="Migliaia [0] 42 4" xfId="3532" xr:uid="{00000000-0005-0000-0000-000090060000}"/>
    <cellStyle name="Migliaia [0] 42 5" xfId="5664" xr:uid="{00000000-0005-0000-0000-000091060000}"/>
    <cellStyle name="Migliaia [0] 42 6" xfId="6609" xr:uid="{00000000-0005-0000-0000-000092060000}"/>
    <cellStyle name="Migliaia [0] 42 7" xfId="4687" xr:uid="{00000000-0005-0000-0000-000093060000}"/>
    <cellStyle name="Migliaia [0] 43" xfId="121" xr:uid="{00000000-0005-0000-0000-000094060000}"/>
    <cellStyle name="Migliaia [0] 43 2" xfId="2052" xr:uid="{00000000-0005-0000-0000-000095060000}"/>
    <cellStyle name="Migliaia [0] 43 2 2" xfId="3533" xr:uid="{00000000-0005-0000-0000-000096060000}"/>
    <cellStyle name="Migliaia [0] 43 2 2 2" xfId="5670" xr:uid="{00000000-0005-0000-0000-000097060000}"/>
    <cellStyle name="Migliaia [0] 43 2 2 3" xfId="6615" xr:uid="{00000000-0005-0000-0000-000098060000}"/>
    <cellStyle name="Migliaia [0] 43 2 2 4" xfId="4693" xr:uid="{00000000-0005-0000-0000-000099060000}"/>
    <cellStyle name="Migliaia [0] 43 2 3" xfId="3534" xr:uid="{00000000-0005-0000-0000-00009A060000}"/>
    <cellStyle name="Migliaia [0] 43 2 4" xfId="5669" xr:uid="{00000000-0005-0000-0000-00009B060000}"/>
    <cellStyle name="Migliaia [0] 43 2 5" xfId="6614" xr:uid="{00000000-0005-0000-0000-00009C060000}"/>
    <cellStyle name="Migliaia [0] 43 2 6" xfId="4692" xr:uid="{00000000-0005-0000-0000-00009D060000}"/>
    <cellStyle name="Migliaia [0] 43 3" xfId="3535" xr:uid="{00000000-0005-0000-0000-00009E060000}"/>
    <cellStyle name="Migliaia [0] 43 3 2" xfId="5671" xr:uid="{00000000-0005-0000-0000-00009F060000}"/>
    <cellStyle name="Migliaia [0] 43 3 3" xfId="6616" xr:uid="{00000000-0005-0000-0000-0000A0060000}"/>
    <cellStyle name="Migliaia [0] 43 3 4" xfId="4694" xr:uid="{00000000-0005-0000-0000-0000A1060000}"/>
    <cellStyle name="Migliaia [0] 43 4" xfId="3536" xr:uid="{00000000-0005-0000-0000-0000A2060000}"/>
    <cellStyle name="Migliaia [0] 43 5" xfId="5668" xr:uid="{00000000-0005-0000-0000-0000A3060000}"/>
    <cellStyle name="Migliaia [0] 43 6" xfId="6613" xr:uid="{00000000-0005-0000-0000-0000A4060000}"/>
    <cellStyle name="Migliaia [0] 43 7" xfId="4691" xr:uid="{00000000-0005-0000-0000-0000A5060000}"/>
    <cellStyle name="Migliaia [0] 44" xfId="122" xr:uid="{00000000-0005-0000-0000-0000A6060000}"/>
    <cellStyle name="Migliaia [0] 44 2" xfId="2053" xr:uid="{00000000-0005-0000-0000-0000A7060000}"/>
    <cellStyle name="Migliaia [0] 44 2 2" xfId="3537" xr:uid="{00000000-0005-0000-0000-0000A8060000}"/>
    <cellStyle name="Migliaia [0] 44 2 2 2" xfId="5674" xr:uid="{00000000-0005-0000-0000-0000A9060000}"/>
    <cellStyle name="Migliaia [0] 44 2 2 3" xfId="6619" xr:uid="{00000000-0005-0000-0000-0000AA060000}"/>
    <cellStyle name="Migliaia [0] 44 2 2 4" xfId="4697" xr:uid="{00000000-0005-0000-0000-0000AB060000}"/>
    <cellStyle name="Migliaia [0] 44 2 3" xfId="3538" xr:uid="{00000000-0005-0000-0000-0000AC060000}"/>
    <cellStyle name="Migliaia [0] 44 2 4" xfId="5673" xr:uid="{00000000-0005-0000-0000-0000AD060000}"/>
    <cellStyle name="Migliaia [0] 44 2 5" xfId="6618" xr:uid="{00000000-0005-0000-0000-0000AE060000}"/>
    <cellStyle name="Migliaia [0] 44 2 6" xfId="4696" xr:uid="{00000000-0005-0000-0000-0000AF060000}"/>
    <cellStyle name="Migliaia [0] 44 3" xfId="3539" xr:uid="{00000000-0005-0000-0000-0000B0060000}"/>
    <cellStyle name="Migliaia [0] 44 3 2" xfId="5675" xr:uid="{00000000-0005-0000-0000-0000B1060000}"/>
    <cellStyle name="Migliaia [0] 44 3 3" xfId="6620" xr:uid="{00000000-0005-0000-0000-0000B2060000}"/>
    <cellStyle name="Migliaia [0] 44 3 4" xfId="4698" xr:uid="{00000000-0005-0000-0000-0000B3060000}"/>
    <cellStyle name="Migliaia [0] 44 4" xfId="3540" xr:uid="{00000000-0005-0000-0000-0000B4060000}"/>
    <cellStyle name="Migliaia [0] 44 5" xfId="5672" xr:uid="{00000000-0005-0000-0000-0000B5060000}"/>
    <cellStyle name="Migliaia [0] 44 6" xfId="6617" xr:uid="{00000000-0005-0000-0000-0000B6060000}"/>
    <cellStyle name="Migliaia [0] 44 7" xfId="4695" xr:uid="{00000000-0005-0000-0000-0000B7060000}"/>
    <cellStyle name="Migliaia [0] 45" xfId="123" xr:uid="{00000000-0005-0000-0000-0000B8060000}"/>
    <cellStyle name="Migliaia [0] 45 2" xfId="2054" xr:uid="{00000000-0005-0000-0000-0000B9060000}"/>
    <cellStyle name="Migliaia [0] 45 2 2" xfId="3541" xr:uid="{00000000-0005-0000-0000-0000BA060000}"/>
    <cellStyle name="Migliaia [0] 45 2 2 2" xfId="5678" xr:uid="{00000000-0005-0000-0000-0000BB060000}"/>
    <cellStyle name="Migliaia [0] 45 2 2 3" xfId="6623" xr:uid="{00000000-0005-0000-0000-0000BC060000}"/>
    <cellStyle name="Migliaia [0] 45 2 2 4" xfId="4701" xr:uid="{00000000-0005-0000-0000-0000BD060000}"/>
    <cellStyle name="Migliaia [0] 45 2 3" xfId="3542" xr:uid="{00000000-0005-0000-0000-0000BE060000}"/>
    <cellStyle name="Migliaia [0] 45 2 4" xfId="5677" xr:uid="{00000000-0005-0000-0000-0000BF060000}"/>
    <cellStyle name="Migliaia [0] 45 2 5" xfId="6622" xr:uid="{00000000-0005-0000-0000-0000C0060000}"/>
    <cellStyle name="Migliaia [0] 45 2 6" xfId="4700" xr:uid="{00000000-0005-0000-0000-0000C1060000}"/>
    <cellStyle name="Migliaia [0] 45 3" xfId="3543" xr:uid="{00000000-0005-0000-0000-0000C2060000}"/>
    <cellStyle name="Migliaia [0] 45 3 2" xfId="5679" xr:uid="{00000000-0005-0000-0000-0000C3060000}"/>
    <cellStyle name="Migliaia [0] 45 3 3" xfId="6624" xr:uid="{00000000-0005-0000-0000-0000C4060000}"/>
    <cellStyle name="Migliaia [0] 45 3 4" xfId="4702" xr:uid="{00000000-0005-0000-0000-0000C5060000}"/>
    <cellStyle name="Migliaia [0] 45 4" xfId="3544" xr:uid="{00000000-0005-0000-0000-0000C6060000}"/>
    <cellStyle name="Migliaia [0] 45 5" xfId="5676" xr:uid="{00000000-0005-0000-0000-0000C7060000}"/>
    <cellStyle name="Migliaia [0] 45 6" xfId="6621" xr:uid="{00000000-0005-0000-0000-0000C8060000}"/>
    <cellStyle name="Migliaia [0] 45 7" xfId="4699" xr:uid="{00000000-0005-0000-0000-0000C9060000}"/>
    <cellStyle name="Migliaia [0] 46" xfId="124" xr:uid="{00000000-0005-0000-0000-0000CA060000}"/>
    <cellStyle name="Migliaia [0] 46 2" xfId="2055" xr:uid="{00000000-0005-0000-0000-0000CB060000}"/>
    <cellStyle name="Migliaia [0] 46 2 2" xfId="3545" xr:uid="{00000000-0005-0000-0000-0000CC060000}"/>
    <cellStyle name="Migliaia [0] 46 2 2 2" xfId="5682" xr:uid="{00000000-0005-0000-0000-0000CD060000}"/>
    <cellStyle name="Migliaia [0] 46 2 2 3" xfId="6627" xr:uid="{00000000-0005-0000-0000-0000CE060000}"/>
    <cellStyle name="Migliaia [0] 46 2 2 4" xfId="4705" xr:uid="{00000000-0005-0000-0000-0000CF060000}"/>
    <cellStyle name="Migliaia [0] 46 2 3" xfId="3546" xr:uid="{00000000-0005-0000-0000-0000D0060000}"/>
    <cellStyle name="Migliaia [0] 46 2 4" xfId="5681" xr:uid="{00000000-0005-0000-0000-0000D1060000}"/>
    <cellStyle name="Migliaia [0] 46 2 5" xfId="6626" xr:uid="{00000000-0005-0000-0000-0000D2060000}"/>
    <cellStyle name="Migliaia [0] 46 2 6" xfId="4704" xr:uid="{00000000-0005-0000-0000-0000D3060000}"/>
    <cellStyle name="Migliaia [0] 46 3" xfId="3547" xr:uid="{00000000-0005-0000-0000-0000D4060000}"/>
    <cellStyle name="Migliaia [0] 46 3 2" xfId="5683" xr:uid="{00000000-0005-0000-0000-0000D5060000}"/>
    <cellStyle name="Migliaia [0] 46 3 3" xfId="6628" xr:uid="{00000000-0005-0000-0000-0000D6060000}"/>
    <cellStyle name="Migliaia [0] 46 3 4" xfId="4706" xr:uid="{00000000-0005-0000-0000-0000D7060000}"/>
    <cellStyle name="Migliaia [0] 46 4" xfId="3548" xr:uid="{00000000-0005-0000-0000-0000D8060000}"/>
    <cellStyle name="Migliaia [0] 46 5" xfId="5680" xr:uid="{00000000-0005-0000-0000-0000D9060000}"/>
    <cellStyle name="Migliaia [0] 46 6" xfId="6625" xr:uid="{00000000-0005-0000-0000-0000DA060000}"/>
    <cellStyle name="Migliaia [0] 46 7" xfId="4703" xr:uid="{00000000-0005-0000-0000-0000DB060000}"/>
    <cellStyle name="Migliaia [0] 47" xfId="125" xr:uid="{00000000-0005-0000-0000-0000DC060000}"/>
    <cellStyle name="Migliaia [0] 47 2" xfId="2056" xr:uid="{00000000-0005-0000-0000-0000DD060000}"/>
    <cellStyle name="Migliaia [0] 47 2 2" xfId="3549" xr:uid="{00000000-0005-0000-0000-0000DE060000}"/>
    <cellStyle name="Migliaia [0] 47 2 2 2" xfId="5686" xr:uid="{00000000-0005-0000-0000-0000DF060000}"/>
    <cellStyle name="Migliaia [0] 47 2 2 3" xfId="6631" xr:uid="{00000000-0005-0000-0000-0000E0060000}"/>
    <cellStyle name="Migliaia [0] 47 2 2 4" xfId="4709" xr:uid="{00000000-0005-0000-0000-0000E1060000}"/>
    <cellStyle name="Migliaia [0] 47 2 3" xfId="3550" xr:uid="{00000000-0005-0000-0000-0000E2060000}"/>
    <cellStyle name="Migliaia [0] 47 2 4" xfId="5685" xr:uid="{00000000-0005-0000-0000-0000E3060000}"/>
    <cellStyle name="Migliaia [0] 47 2 5" xfId="6630" xr:uid="{00000000-0005-0000-0000-0000E4060000}"/>
    <cellStyle name="Migliaia [0] 47 2 6" xfId="4708" xr:uid="{00000000-0005-0000-0000-0000E5060000}"/>
    <cellStyle name="Migliaia [0] 47 3" xfId="3551" xr:uid="{00000000-0005-0000-0000-0000E6060000}"/>
    <cellStyle name="Migliaia [0] 47 3 2" xfId="5687" xr:uid="{00000000-0005-0000-0000-0000E7060000}"/>
    <cellStyle name="Migliaia [0] 47 3 3" xfId="6632" xr:uid="{00000000-0005-0000-0000-0000E8060000}"/>
    <cellStyle name="Migliaia [0] 47 3 4" xfId="4710" xr:uid="{00000000-0005-0000-0000-0000E9060000}"/>
    <cellStyle name="Migliaia [0] 47 4" xfId="3552" xr:uid="{00000000-0005-0000-0000-0000EA060000}"/>
    <cellStyle name="Migliaia [0] 47 5" xfId="5684" xr:uid="{00000000-0005-0000-0000-0000EB060000}"/>
    <cellStyle name="Migliaia [0] 47 6" xfId="6629" xr:uid="{00000000-0005-0000-0000-0000EC060000}"/>
    <cellStyle name="Migliaia [0] 47 7" xfId="4707" xr:uid="{00000000-0005-0000-0000-0000ED060000}"/>
    <cellStyle name="Migliaia [0] 48" xfId="126" xr:uid="{00000000-0005-0000-0000-0000EE060000}"/>
    <cellStyle name="Migliaia [0] 48 2" xfId="2057" xr:uid="{00000000-0005-0000-0000-0000EF060000}"/>
    <cellStyle name="Migliaia [0] 48 2 2" xfId="3553" xr:uid="{00000000-0005-0000-0000-0000F0060000}"/>
    <cellStyle name="Migliaia [0] 48 2 2 2" xfId="5690" xr:uid="{00000000-0005-0000-0000-0000F1060000}"/>
    <cellStyle name="Migliaia [0] 48 2 2 3" xfId="6635" xr:uid="{00000000-0005-0000-0000-0000F2060000}"/>
    <cellStyle name="Migliaia [0] 48 2 2 4" xfId="4713" xr:uid="{00000000-0005-0000-0000-0000F3060000}"/>
    <cellStyle name="Migliaia [0] 48 2 3" xfId="3554" xr:uid="{00000000-0005-0000-0000-0000F4060000}"/>
    <cellStyle name="Migliaia [0] 48 2 4" xfId="5689" xr:uid="{00000000-0005-0000-0000-0000F5060000}"/>
    <cellStyle name="Migliaia [0] 48 2 5" xfId="6634" xr:uid="{00000000-0005-0000-0000-0000F6060000}"/>
    <cellStyle name="Migliaia [0] 48 2 6" xfId="4712" xr:uid="{00000000-0005-0000-0000-0000F7060000}"/>
    <cellStyle name="Migliaia [0] 48 3" xfId="3555" xr:uid="{00000000-0005-0000-0000-0000F8060000}"/>
    <cellStyle name="Migliaia [0] 48 3 2" xfId="5691" xr:uid="{00000000-0005-0000-0000-0000F9060000}"/>
    <cellStyle name="Migliaia [0] 48 3 3" xfId="6636" xr:uid="{00000000-0005-0000-0000-0000FA060000}"/>
    <cellStyle name="Migliaia [0] 48 3 4" xfId="4714" xr:uid="{00000000-0005-0000-0000-0000FB060000}"/>
    <cellStyle name="Migliaia [0] 48 4" xfId="3556" xr:uid="{00000000-0005-0000-0000-0000FC060000}"/>
    <cellStyle name="Migliaia [0] 48 5" xfId="5688" xr:uid="{00000000-0005-0000-0000-0000FD060000}"/>
    <cellStyle name="Migliaia [0] 48 6" xfId="6633" xr:uid="{00000000-0005-0000-0000-0000FE060000}"/>
    <cellStyle name="Migliaia [0] 48 7" xfId="4711" xr:uid="{00000000-0005-0000-0000-0000FF060000}"/>
    <cellStyle name="Migliaia [0] 49" xfId="127" xr:uid="{00000000-0005-0000-0000-000000070000}"/>
    <cellStyle name="Migliaia [0] 49 2" xfId="2058" xr:uid="{00000000-0005-0000-0000-000001070000}"/>
    <cellStyle name="Migliaia [0] 49 2 2" xfId="3557" xr:uid="{00000000-0005-0000-0000-000002070000}"/>
    <cellStyle name="Migliaia [0] 49 2 2 2" xfId="5694" xr:uid="{00000000-0005-0000-0000-000003070000}"/>
    <cellStyle name="Migliaia [0] 49 2 2 3" xfId="6639" xr:uid="{00000000-0005-0000-0000-000004070000}"/>
    <cellStyle name="Migliaia [0] 49 2 2 4" xfId="4717" xr:uid="{00000000-0005-0000-0000-000005070000}"/>
    <cellStyle name="Migliaia [0] 49 2 3" xfId="3558" xr:uid="{00000000-0005-0000-0000-000006070000}"/>
    <cellStyle name="Migliaia [0] 49 2 4" xfId="5693" xr:uid="{00000000-0005-0000-0000-000007070000}"/>
    <cellStyle name="Migliaia [0] 49 2 5" xfId="6638" xr:uid="{00000000-0005-0000-0000-000008070000}"/>
    <cellStyle name="Migliaia [0] 49 2 6" xfId="4716" xr:uid="{00000000-0005-0000-0000-000009070000}"/>
    <cellStyle name="Migliaia [0] 49 3" xfId="3559" xr:uid="{00000000-0005-0000-0000-00000A070000}"/>
    <cellStyle name="Migliaia [0] 49 3 2" xfId="5695" xr:uid="{00000000-0005-0000-0000-00000B070000}"/>
    <cellStyle name="Migliaia [0] 49 3 3" xfId="6640" xr:uid="{00000000-0005-0000-0000-00000C070000}"/>
    <cellStyle name="Migliaia [0] 49 3 4" xfId="4718" xr:uid="{00000000-0005-0000-0000-00000D070000}"/>
    <cellStyle name="Migliaia [0] 49 4" xfId="3560" xr:uid="{00000000-0005-0000-0000-00000E070000}"/>
    <cellStyle name="Migliaia [0] 49 5" xfId="5692" xr:uid="{00000000-0005-0000-0000-00000F070000}"/>
    <cellStyle name="Migliaia [0] 49 6" xfId="6637" xr:uid="{00000000-0005-0000-0000-000010070000}"/>
    <cellStyle name="Migliaia [0] 49 7" xfId="4715" xr:uid="{00000000-0005-0000-0000-000011070000}"/>
    <cellStyle name="Migliaia [0] 5" xfId="128" xr:uid="{00000000-0005-0000-0000-000012070000}"/>
    <cellStyle name="Migliaia [0] 5 2" xfId="2059" xr:uid="{00000000-0005-0000-0000-000013070000}"/>
    <cellStyle name="Migliaia [0] 5 2 2" xfId="3561" xr:uid="{00000000-0005-0000-0000-000014070000}"/>
    <cellStyle name="Migliaia [0] 5 2 2 2" xfId="5698" xr:uid="{00000000-0005-0000-0000-000015070000}"/>
    <cellStyle name="Migliaia [0] 5 2 2 3" xfId="6643" xr:uid="{00000000-0005-0000-0000-000016070000}"/>
    <cellStyle name="Migliaia [0] 5 2 2 4" xfId="4721" xr:uid="{00000000-0005-0000-0000-000017070000}"/>
    <cellStyle name="Migliaia [0] 5 2 3" xfId="3562" xr:uid="{00000000-0005-0000-0000-000018070000}"/>
    <cellStyle name="Migliaia [0] 5 2 4" xfId="5697" xr:uid="{00000000-0005-0000-0000-000019070000}"/>
    <cellStyle name="Migliaia [0] 5 2 5" xfId="6642" xr:uid="{00000000-0005-0000-0000-00001A070000}"/>
    <cellStyle name="Migliaia [0] 5 2 6" xfId="4720" xr:uid="{00000000-0005-0000-0000-00001B070000}"/>
    <cellStyle name="Migliaia [0] 5 3" xfId="3563" xr:uid="{00000000-0005-0000-0000-00001C070000}"/>
    <cellStyle name="Migliaia [0] 5 3 2" xfId="5699" xr:uid="{00000000-0005-0000-0000-00001D070000}"/>
    <cellStyle name="Migliaia [0] 5 3 3" xfId="6644" xr:uid="{00000000-0005-0000-0000-00001E070000}"/>
    <cellStyle name="Migliaia [0] 5 3 4" xfId="4722" xr:uid="{00000000-0005-0000-0000-00001F070000}"/>
    <cellStyle name="Migliaia [0] 5 4" xfId="3564" xr:uid="{00000000-0005-0000-0000-000020070000}"/>
    <cellStyle name="Migliaia [0] 5 5" xfId="5696" xr:uid="{00000000-0005-0000-0000-000021070000}"/>
    <cellStyle name="Migliaia [0] 5 6" xfId="6641" xr:uid="{00000000-0005-0000-0000-000022070000}"/>
    <cellStyle name="Migliaia [0] 5 7" xfId="4719" xr:uid="{00000000-0005-0000-0000-000023070000}"/>
    <cellStyle name="Migliaia [0] 50" xfId="129" xr:uid="{00000000-0005-0000-0000-000024070000}"/>
    <cellStyle name="Migliaia [0] 50 2" xfId="2060" xr:uid="{00000000-0005-0000-0000-000025070000}"/>
    <cellStyle name="Migliaia [0] 50 2 2" xfId="3565" xr:uid="{00000000-0005-0000-0000-000026070000}"/>
    <cellStyle name="Migliaia [0] 50 2 2 2" xfId="5702" xr:uid="{00000000-0005-0000-0000-000027070000}"/>
    <cellStyle name="Migliaia [0] 50 2 2 3" xfId="6647" xr:uid="{00000000-0005-0000-0000-000028070000}"/>
    <cellStyle name="Migliaia [0] 50 2 2 4" xfId="4725" xr:uid="{00000000-0005-0000-0000-000029070000}"/>
    <cellStyle name="Migliaia [0] 50 2 3" xfId="3566" xr:uid="{00000000-0005-0000-0000-00002A070000}"/>
    <cellStyle name="Migliaia [0] 50 2 4" xfId="5701" xr:uid="{00000000-0005-0000-0000-00002B070000}"/>
    <cellStyle name="Migliaia [0] 50 2 5" xfId="6646" xr:uid="{00000000-0005-0000-0000-00002C070000}"/>
    <cellStyle name="Migliaia [0] 50 2 6" xfId="4724" xr:uid="{00000000-0005-0000-0000-00002D070000}"/>
    <cellStyle name="Migliaia [0] 50 3" xfId="3567" xr:uid="{00000000-0005-0000-0000-00002E070000}"/>
    <cellStyle name="Migliaia [0] 50 3 2" xfId="5703" xr:uid="{00000000-0005-0000-0000-00002F070000}"/>
    <cellStyle name="Migliaia [0] 50 3 3" xfId="6648" xr:uid="{00000000-0005-0000-0000-000030070000}"/>
    <cellStyle name="Migliaia [0] 50 3 4" xfId="4726" xr:uid="{00000000-0005-0000-0000-000031070000}"/>
    <cellStyle name="Migliaia [0] 50 4" xfId="3568" xr:uid="{00000000-0005-0000-0000-000032070000}"/>
    <cellStyle name="Migliaia [0] 50 5" xfId="5700" xr:uid="{00000000-0005-0000-0000-000033070000}"/>
    <cellStyle name="Migliaia [0] 50 6" xfId="6645" xr:uid="{00000000-0005-0000-0000-000034070000}"/>
    <cellStyle name="Migliaia [0] 50 7" xfId="4723" xr:uid="{00000000-0005-0000-0000-000035070000}"/>
    <cellStyle name="Migliaia [0] 51" xfId="130" xr:uid="{00000000-0005-0000-0000-000036070000}"/>
    <cellStyle name="Migliaia [0] 51 2" xfId="2061" xr:uid="{00000000-0005-0000-0000-000037070000}"/>
    <cellStyle name="Migliaia [0] 51 2 2" xfId="3569" xr:uid="{00000000-0005-0000-0000-000038070000}"/>
    <cellStyle name="Migliaia [0] 51 2 2 2" xfId="5706" xr:uid="{00000000-0005-0000-0000-000039070000}"/>
    <cellStyle name="Migliaia [0] 51 2 2 3" xfId="6651" xr:uid="{00000000-0005-0000-0000-00003A070000}"/>
    <cellStyle name="Migliaia [0] 51 2 2 4" xfId="4729" xr:uid="{00000000-0005-0000-0000-00003B070000}"/>
    <cellStyle name="Migliaia [0] 51 2 3" xfId="3570" xr:uid="{00000000-0005-0000-0000-00003C070000}"/>
    <cellStyle name="Migliaia [0] 51 2 4" xfId="5705" xr:uid="{00000000-0005-0000-0000-00003D070000}"/>
    <cellStyle name="Migliaia [0] 51 2 5" xfId="6650" xr:uid="{00000000-0005-0000-0000-00003E070000}"/>
    <cellStyle name="Migliaia [0] 51 2 6" xfId="4728" xr:uid="{00000000-0005-0000-0000-00003F070000}"/>
    <cellStyle name="Migliaia [0] 51 3" xfId="3571" xr:uid="{00000000-0005-0000-0000-000040070000}"/>
    <cellStyle name="Migliaia [0] 51 3 2" xfId="5707" xr:uid="{00000000-0005-0000-0000-000041070000}"/>
    <cellStyle name="Migliaia [0] 51 3 3" xfId="6652" xr:uid="{00000000-0005-0000-0000-000042070000}"/>
    <cellStyle name="Migliaia [0] 51 3 4" xfId="4730" xr:uid="{00000000-0005-0000-0000-000043070000}"/>
    <cellStyle name="Migliaia [0] 51 4" xfId="3572" xr:uid="{00000000-0005-0000-0000-000044070000}"/>
    <cellStyle name="Migliaia [0] 51 5" xfId="5704" xr:uid="{00000000-0005-0000-0000-000045070000}"/>
    <cellStyle name="Migliaia [0] 51 6" xfId="6649" xr:uid="{00000000-0005-0000-0000-000046070000}"/>
    <cellStyle name="Migliaia [0] 51 7" xfId="4727" xr:uid="{00000000-0005-0000-0000-000047070000}"/>
    <cellStyle name="Migliaia [0] 52" xfId="131" xr:uid="{00000000-0005-0000-0000-000048070000}"/>
    <cellStyle name="Migliaia [0] 52 2" xfId="2062" xr:uid="{00000000-0005-0000-0000-000049070000}"/>
    <cellStyle name="Migliaia [0] 52 2 2" xfId="3573" xr:uid="{00000000-0005-0000-0000-00004A070000}"/>
    <cellStyle name="Migliaia [0] 52 2 2 2" xfId="5710" xr:uid="{00000000-0005-0000-0000-00004B070000}"/>
    <cellStyle name="Migliaia [0] 52 2 2 3" xfId="6655" xr:uid="{00000000-0005-0000-0000-00004C070000}"/>
    <cellStyle name="Migliaia [0] 52 2 2 4" xfId="4733" xr:uid="{00000000-0005-0000-0000-00004D070000}"/>
    <cellStyle name="Migliaia [0] 52 2 3" xfId="3574" xr:uid="{00000000-0005-0000-0000-00004E070000}"/>
    <cellStyle name="Migliaia [0] 52 2 4" xfId="5709" xr:uid="{00000000-0005-0000-0000-00004F070000}"/>
    <cellStyle name="Migliaia [0] 52 2 5" xfId="6654" xr:uid="{00000000-0005-0000-0000-000050070000}"/>
    <cellStyle name="Migliaia [0] 52 2 6" xfId="4732" xr:uid="{00000000-0005-0000-0000-000051070000}"/>
    <cellStyle name="Migliaia [0] 52 3" xfId="3575" xr:uid="{00000000-0005-0000-0000-000052070000}"/>
    <cellStyle name="Migliaia [0] 52 3 2" xfId="5711" xr:uid="{00000000-0005-0000-0000-000053070000}"/>
    <cellStyle name="Migliaia [0] 52 3 3" xfId="6656" xr:uid="{00000000-0005-0000-0000-000054070000}"/>
    <cellStyle name="Migliaia [0] 52 3 4" xfId="4734" xr:uid="{00000000-0005-0000-0000-000055070000}"/>
    <cellStyle name="Migliaia [0] 52 4" xfId="3576" xr:uid="{00000000-0005-0000-0000-000056070000}"/>
    <cellStyle name="Migliaia [0] 52 5" xfId="5708" xr:uid="{00000000-0005-0000-0000-000057070000}"/>
    <cellStyle name="Migliaia [0] 52 6" xfId="6653" xr:uid="{00000000-0005-0000-0000-000058070000}"/>
    <cellStyle name="Migliaia [0] 52 7" xfId="4731" xr:uid="{00000000-0005-0000-0000-000059070000}"/>
    <cellStyle name="Migliaia [0] 53" xfId="132" xr:uid="{00000000-0005-0000-0000-00005A070000}"/>
    <cellStyle name="Migliaia [0] 53 2" xfId="2063" xr:uid="{00000000-0005-0000-0000-00005B070000}"/>
    <cellStyle name="Migliaia [0] 53 2 2" xfId="3577" xr:uid="{00000000-0005-0000-0000-00005C070000}"/>
    <cellStyle name="Migliaia [0] 53 2 2 2" xfId="5714" xr:uid="{00000000-0005-0000-0000-00005D070000}"/>
    <cellStyle name="Migliaia [0] 53 2 2 3" xfId="6659" xr:uid="{00000000-0005-0000-0000-00005E070000}"/>
    <cellStyle name="Migliaia [0] 53 2 2 4" xfId="4737" xr:uid="{00000000-0005-0000-0000-00005F070000}"/>
    <cellStyle name="Migliaia [0] 53 2 3" xfId="3578" xr:uid="{00000000-0005-0000-0000-000060070000}"/>
    <cellStyle name="Migliaia [0] 53 2 4" xfId="5713" xr:uid="{00000000-0005-0000-0000-000061070000}"/>
    <cellStyle name="Migliaia [0] 53 2 5" xfId="6658" xr:uid="{00000000-0005-0000-0000-000062070000}"/>
    <cellStyle name="Migliaia [0] 53 2 6" xfId="4736" xr:uid="{00000000-0005-0000-0000-000063070000}"/>
    <cellStyle name="Migliaia [0] 53 3" xfId="3579" xr:uid="{00000000-0005-0000-0000-000064070000}"/>
    <cellStyle name="Migliaia [0] 53 3 2" xfId="5715" xr:uid="{00000000-0005-0000-0000-000065070000}"/>
    <cellStyle name="Migliaia [0] 53 3 3" xfId="6660" xr:uid="{00000000-0005-0000-0000-000066070000}"/>
    <cellStyle name="Migliaia [0] 53 3 4" xfId="4738" xr:uid="{00000000-0005-0000-0000-000067070000}"/>
    <cellStyle name="Migliaia [0] 53 4" xfId="3580" xr:uid="{00000000-0005-0000-0000-000068070000}"/>
    <cellStyle name="Migliaia [0] 53 5" xfId="5712" xr:uid="{00000000-0005-0000-0000-000069070000}"/>
    <cellStyle name="Migliaia [0] 53 6" xfId="6657" xr:uid="{00000000-0005-0000-0000-00006A070000}"/>
    <cellStyle name="Migliaia [0] 53 7" xfId="4735" xr:uid="{00000000-0005-0000-0000-00006B070000}"/>
    <cellStyle name="Migliaia [0] 54" xfId="133" xr:uid="{00000000-0005-0000-0000-00006C070000}"/>
    <cellStyle name="Migliaia [0] 54 2" xfId="2064" xr:uid="{00000000-0005-0000-0000-00006D070000}"/>
    <cellStyle name="Migliaia [0] 54 2 2" xfId="3581" xr:uid="{00000000-0005-0000-0000-00006E070000}"/>
    <cellStyle name="Migliaia [0] 54 2 2 2" xfId="5718" xr:uid="{00000000-0005-0000-0000-00006F070000}"/>
    <cellStyle name="Migliaia [0] 54 2 2 3" xfId="6663" xr:uid="{00000000-0005-0000-0000-000070070000}"/>
    <cellStyle name="Migliaia [0] 54 2 2 4" xfId="4741" xr:uid="{00000000-0005-0000-0000-000071070000}"/>
    <cellStyle name="Migliaia [0] 54 2 3" xfId="3582" xr:uid="{00000000-0005-0000-0000-000072070000}"/>
    <cellStyle name="Migliaia [0] 54 2 4" xfId="5717" xr:uid="{00000000-0005-0000-0000-000073070000}"/>
    <cellStyle name="Migliaia [0] 54 2 5" xfId="6662" xr:uid="{00000000-0005-0000-0000-000074070000}"/>
    <cellStyle name="Migliaia [0] 54 2 6" xfId="4740" xr:uid="{00000000-0005-0000-0000-000075070000}"/>
    <cellStyle name="Migliaia [0] 54 3" xfId="3583" xr:uid="{00000000-0005-0000-0000-000076070000}"/>
    <cellStyle name="Migliaia [0] 54 3 2" xfId="5719" xr:uid="{00000000-0005-0000-0000-000077070000}"/>
    <cellStyle name="Migliaia [0] 54 3 3" xfId="6664" xr:uid="{00000000-0005-0000-0000-000078070000}"/>
    <cellStyle name="Migliaia [0] 54 3 4" xfId="4742" xr:uid="{00000000-0005-0000-0000-000079070000}"/>
    <cellStyle name="Migliaia [0] 54 4" xfId="3584" xr:uid="{00000000-0005-0000-0000-00007A070000}"/>
    <cellStyle name="Migliaia [0] 54 5" xfId="5716" xr:uid="{00000000-0005-0000-0000-00007B070000}"/>
    <cellStyle name="Migliaia [0] 54 6" xfId="6661" xr:uid="{00000000-0005-0000-0000-00007C070000}"/>
    <cellStyle name="Migliaia [0] 54 7" xfId="4739" xr:uid="{00000000-0005-0000-0000-00007D070000}"/>
    <cellStyle name="Migliaia [0] 55" xfId="134" xr:uid="{00000000-0005-0000-0000-00007E070000}"/>
    <cellStyle name="Migliaia [0] 55 2" xfId="2065" xr:uid="{00000000-0005-0000-0000-00007F070000}"/>
    <cellStyle name="Migliaia [0] 55 2 2" xfId="3585" xr:uid="{00000000-0005-0000-0000-000080070000}"/>
    <cellStyle name="Migliaia [0] 55 2 2 2" xfId="5722" xr:uid="{00000000-0005-0000-0000-000081070000}"/>
    <cellStyle name="Migliaia [0] 55 2 2 3" xfId="6667" xr:uid="{00000000-0005-0000-0000-000082070000}"/>
    <cellStyle name="Migliaia [0] 55 2 2 4" xfId="4745" xr:uid="{00000000-0005-0000-0000-000083070000}"/>
    <cellStyle name="Migliaia [0] 55 2 3" xfId="3586" xr:uid="{00000000-0005-0000-0000-000084070000}"/>
    <cellStyle name="Migliaia [0] 55 2 4" xfId="5721" xr:uid="{00000000-0005-0000-0000-000085070000}"/>
    <cellStyle name="Migliaia [0] 55 2 5" xfId="6666" xr:uid="{00000000-0005-0000-0000-000086070000}"/>
    <cellStyle name="Migliaia [0] 55 2 6" xfId="4744" xr:uid="{00000000-0005-0000-0000-000087070000}"/>
    <cellStyle name="Migliaia [0] 55 3" xfId="3587" xr:uid="{00000000-0005-0000-0000-000088070000}"/>
    <cellStyle name="Migliaia [0] 55 3 2" xfId="5723" xr:uid="{00000000-0005-0000-0000-000089070000}"/>
    <cellStyle name="Migliaia [0] 55 3 3" xfId="6668" xr:uid="{00000000-0005-0000-0000-00008A070000}"/>
    <cellStyle name="Migliaia [0] 55 3 4" xfId="4746" xr:uid="{00000000-0005-0000-0000-00008B070000}"/>
    <cellStyle name="Migliaia [0] 55 4" xfId="3588" xr:uid="{00000000-0005-0000-0000-00008C070000}"/>
    <cellStyle name="Migliaia [0] 55 5" xfId="5720" xr:uid="{00000000-0005-0000-0000-00008D070000}"/>
    <cellStyle name="Migliaia [0] 55 6" xfId="6665" xr:uid="{00000000-0005-0000-0000-00008E070000}"/>
    <cellStyle name="Migliaia [0] 55 7" xfId="4743" xr:uid="{00000000-0005-0000-0000-00008F070000}"/>
    <cellStyle name="Migliaia [0] 56" xfId="135" xr:uid="{00000000-0005-0000-0000-000090070000}"/>
    <cellStyle name="Migliaia [0] 56 2" xfId="2066" xr:uid="{00000000-0005-0000-0000-000091070000}"/>
    <cellStyle name="Migliaia [0] 56 2 2" xfId="3589" xr:uid="{00000000-0005-0000-0000-000092070000}"/>
    <cellStyle name="Migliaia [0] 56 2 2 2" xfId="5726" xr:uid="{00000000-0005-0000-0000-000093070000}"/>
    <cellStyle name="Migliaia [0] 56 2 2 3" xfId="6671" xr:uid="{00000000-0005-0000-0000-000094070000}"/>
    <cellStyle name="Migliaia [0] 56 2 2 4" xfId="4749" xr:uid="{00000000-0005-0000-0000-000095070000}"/>
    <cellStyle name="Migliaia [0] 56 2 3" xfId="3590" xr:uid="{00000000-0005-0000-0000-000096070000}"/>
    <cellStyle name="Migliaia [0] 56 2 4" xfId="5725" xr:uid="{00000000-0005-0000-0000-000097070000}"/>
    <cellStyle name="Migliaia [0] 56 2 5" xfId="6670" xr:uid="{00000000-0005-0000-0000-000098070000}"/>
    <cellStyle name="Migliaia [0] 56 2 6" xfId="4748" xr:uid="{00000000-0005-0000-0000-000099070000}"/>
    <cellStyle name="Migliaia [0] 56 3" xfId="3591" xr:uid="{00000000-0005-0000-0000-00009A070000}"/>
    <cellStyle name="Migliaia [0] 56 3 2" xfId="5727" xr:uid="{00000000-0005-0000-0000-00009B070000}"/>
    <cellStyle name="Migliaia [0] 56 3 3" xfId="6672" xr:uid="{00000000-0005-0000-0000-00009C070000}"/>
    <cellStyle name="Migliaia [0] 56 3 4" xfId="4750" xr:uid="{00000000-0005-0000-0000-00009D070000}"/>
    <cellStyle name="Migliaia [0] 56 4" xfId="3592" xr:uid="{00000000-0005-0000-0000-00009E070000}"/>
    <cellStyle name="Migliaia [0] 56 5" xfId="5724" xr:uid="{00000000-0005-0000-0000-00009F070000}"/>
    <cellStyle name="Migliaia [0] 56 6" xfId="6669" xr:uid="{00000000-0005-0000-0000-0000A0070000}"/>
    <cellStyle name="Migliaia [0] 56 7" xfId="4747" xr:uid="{00000000-0005-0000-0000-0000A1070000}"/>
    <cellStyle name="Migliaia [0] 57" xfId="136" xr:uid="{00000000-0005-0000-0000-0000A2070000}"/>
    <cellStyle name="Migliaia [0] 57 2" xfId="2067" xr:uid="{00000000-0005-0000-0000-0000A3070000}"/>
    <cellStyle name="Migliaia [0] 57 2 2" xfId="3593" xr:uid="{00000000-0005-0000-0000-0000A4070000}"/>
    <cellStyle name="Migliaia [0] 57 2 2 2" xfId="5730" xr:uid="{00000000-0005-0000-0000-0000A5070000}"/>
    <cellStyle name="Migliaia [0] 57 2 2 3" xfId="6675" xr:uid="{00000000-0005-0000-0000-0000A6070000}"/>
    <cellStyle name="Migliaia [0] 57 2 2 4" xfId="4753" xr:uid="{00000000-0005-0000-0000-0000A7070000}"/>
    <cellStyle name="Migliaia [0] 57 2 3" xfId="3594" xr:uid="{00000000-0005-0000-0000-0000A8070000}"/>
    <cellStyle name="Migliaia [0] 57 2 4" xfId="5729" xr:uid="{00000000-0005-0000-0000-0000A9070000}"/>
    <cellStyle name="Migliaia [0] 57 2 5" xfId="6674" xr:uid="{00000000-0005-0000-0000-0000AA070000}"/>
    <cellStyle name="Migliaia [0] 57 2 6" xfId="4752" xr:uid="{00000000-0005-0000-0000-0000AB070000}"/>
    <cellStyle name="Migliaia [0] 57 3" xfId="3595" xr:uid="{00000000-0005-0000-0000-0000AC070000}"/>
    <cellStyle name="Migliaia [0] 57 3 2" xfId="5731" xr:uid="{00000000-0005-0000-0000-0000AD070000}"/>
    <cellStyle name="Migliaia [0] 57 3 3" xfId="6676" xr:uid="{00000000-0005-0000-0000-0000AE070000}"/>
    <cellStyle name="Migliaia [0] 57 3 4" xfId="4754" xr:uid="{00000000-0005-0000-0000-0000AF070000}"/>
    <cellStyle name="Migliaia [0] 57 4" xfId="3596" xr:uid="{00000000-0005-0000-0000-0000B0070000}"/>
    <cellStyle name="Migliaia [0] 57 5" xfId="5728" xr:uid="{00000000-0005-0000-0000-0000B1070000}"/>
    <cellStyle name="Migliaia [0] 57 6" xfId="6673" xr:uid="{00000000-0005-0000-0000-0000B2070000}"/>
    <cellStyle name="Migliaia [0] 57 7" xfId="4751" xr:uid="{00000000-0005-0000-0000-0000B3070000}"/>
    <cellStyle name="Migliaia [0] 58" xfId="137" xr:uid="{00000000-0005-0000-0000-0000B4070000}"/>
    <cellStyle name="Migliaia [0] 58 2" xfId="2068" xr:uid="{00000000-0005-0000-0000-0000B5070000}"/>
    <cellStyle name="Migliaia [0] 58 2 2" xfId="3597" xr:uid="{00000000-0005-0000-0000-0000B6070000}"/>
    <cellStyle name="Migliaia [0] 58 2 2 2" xfId="5734" xr:uid="{00000000-0005-0000-0000-0000B7070000}"/>
    <cellStyle name="Migliaia [0] 58 2 2 3" xfId="6679" xr:uid="{00000000-0005-0000-0000-0000B8070000}"/>
    <cellStyle name="Migliaia [0] 58 2 2 4" xfId="4757" xr:uid="{00000000-0005-0000-0000-0000B9070000}"/>
    <cellStyle name="Migliaia [0] 58 2 3" xfId="3598" xr:uid="{00000000-0005-0000-0000-0000BA070000}"/>
    <cellStyle name="Migliaia [0] 58 2 4" xfId="5733" xr:uid="{00000000-0005-0000-0000-0000BB070000}"/>
    <cellStyle name="Migliaia [0] 58 2 5" xfId="6678" xr:uid="{00000000-0005-0000-0000-0000BC070000}"/>
    <cellStyle name="Migliaia [0] 58 2 6" xfId="4756" xr:uid="{00000000-0005-0000-0000-0000BD070000}"/>
    <cellStyle name="Migliaia [0] 58 3" xfId="3599" xr:uid="{00000000-0005-0000-0000-0000BE070000}"/>
    <cellStyle name="Migliaia [0] 58 3 2" xfId="5735" xr:uid="{00000000-0005-0000-0000-0000BF070000}"/>
    <cellStyle name="Migliaia [0] 58 3 3" xfId="6680" xr:uid="{00000000-0005-0000-0000-0000C0070000}"/>
    <cellStyle name="Migliaia [0] 58 3 4" xfId="4758" xr:uid="{00000000-0005-0000-0000-0000C1070000}"/>
    <cellStyle name="Migliaia [0] 58 4" xfId="3600" xr:uid="{00000000-0005-0000-0000-0000C2070000}"/>
    <cellStyle name="Migliaia [0] 58 5" xfId="5732" xr:uid="{00000000-0005-0000-0000-0000C3070000}"/>
    <cellStyle name="Migliaia [0] 58 6" xfId="6677" xr:uid="{00000000-0005-0000-0000-0000C4070000}"/>
    <cellStyle name="Migliaia [0] 58 7" xfId="4755" xr:uid="{00000000-0005-0000-0000-0000C5070000}"/>
    <cellStyle name="Migliaia [0] 59" xfId="138" xr:uid="{00000000-0005-0000-0000-0000C6070000}"/>
    <cellStyle name="Migliaia [0] 59 2" xfId="2069" xr:uid="{00000000-0005-0000-0000-0000C7070000}"/>
    <cellStyle name="Migliaia [0] 59 2 2" xfId="3601" xr:uid="{00000000-0005-0000-0000-0000C8070000}"/>
    <cellStyle name="Migliaia [0] 59 2 2 2" xfId="5738" xr:uid="{00000000-0005-0000-0000-0000C9070000}"/>
    <cellStyle name="Migliaia [0] 59 2 2 3" xfId="6683" xr:uid="{00000000-0005-0000-0000-0000CA070000}"/>
    <cellStyle name="Migliaia [0] 59 2 2 4" xfId="4761" xr:uid="{00000000-0005-0000-0000-0000CB070000}"/>
    <cellStyle name="Migliaia [0] 59 2 3" xfId="3602" xr:uid="{00000000-0005-0000-0000-0000CC070000}"/>
    <cellStyle name="Migliaia [0] 59 2 4" xfId="5737" xr:uid="{00000000-0005-0000-0000-0000CD070000}"/>
    <cellStyle name="Migliaia [0] 59 2 5" xfId="6682" xr:uid="{00000000-0005-0000-0000-0000CE070000}"/>
    <cellStyle name="Migliaia [0] 59 2 6" xfId="4760" xr:uid="{00000000-0005-0000-0000-0000CF070000}"/>
    <cellStyle name="Migliaia [0] 59 3" xfId="3603" xr:uid="{00000000-0005-0000-0000-0000D0070000}"/>
    <cellStyle name="Migliaia [0] 59 3 2" xfId="5739" xr:uid="{00000000-0005-0000-0000-0000D1070000}"/>
    <cellStyle name="Migliaia [0] 59 3 3" xfId="6684" xr:uid="{00000000-0005-0000-0000-0000D2070000}"/>
    <cellStyle name="Migliaia [0] 59 3 4" xfId="4762" xr:uid="{00000000-0005-0000-0000-0000D3070000}"/>
    <cellStyle name="Migliaia [0] 59 4" xfId="3604" xr:uid="{00000000-0005-0000-0000-0000D4070000}"/>
    <cellStyle name="Migliaia [0] 59 5" xfId="5736" xr:uid="{00000000-0005-0000-0000-0000D5070000}"/>
    <cellStyle name="Migliaia [0] 59 6" xfId="6681" xr:uid="{00000000-0005-0000-0000-0000D6070000}"/>
    <cellStyle name="Migliaia [0] 59 7" xfId="4759" xr:uid="{00000000-0005-0000-0000-0000D7070000}"/>
    <cellStyle name="Migliaia [0] 6" xfId="139" xr:uid="{00000000-0005-0000-0000-0000D8070000}"/>
    <cellStyle name="Migliaia [0] 6 2" xfId="2070" xr:uid="{00000000-0005-0000-0000-0000D9070000}"/>
    <cellStyle name="Migliaia [0] 6 2 2" xfId="3605" xr:uid="{00000000-0005-0000-0000-0000DA070000}"/>
    <cellStyle name="Migliaia [0] 6 2 2 2" xfId="5742" xr:uid="{00000000-0005-0000-0000-0000DB070000}"/>
    <cellStyle name="Migliaia [0] 6 2 2 3" xfId="6687" xr:uid="{00000000-0005-0000-0000-0000DC070000}"/>
    <cellStyle name="Migliaia [0] 6 2 2 4" xfId="4765" xr:uid="{00000000-0005-0000-0000-0000DD070000}"/>
    <cellStyle name="Migliaia [0] 6 2 3" xfId="3606" xr:uid="{00000000-0005-0000-0000-0000DE070000}"/>
    <cellStyle name="Migliaia [0] 6 2 4" xfId="5741" xr:uid="{00000000-0005-0000-0000-0000DF070000}"/>
    <cellStyle name="Migliaia [0] 6 2 5" xfId="6686" xr:uid="{00000000-0005-0000-0000-0000E0070000}"/>
    <cellStyle name="Migliaia [0] 6 2 6" xfId="4764" xr:uid="{00000000-0005-0000-0000-0000E1070000}"/>
    <cellStyle name="Migliaia [0] 6 3" xfId="3607" xr:uid="{00000000-0005-0000-0000-0000E2070000}"/>
    <cellStyle name="Migliaia [0] 6 3 2" xfId="5743" xr:uid="{00000000-0005-0000-0000-0000E3070000}"/>
    <cellStyle name="Migliaia [0] 6 3 3" xfId="6688" xr:uid="{00000000-0005-0000-0000-0000E4070000}"/>
    <cellStyle name="Migliaia [0] 6 3 4" xfId="4766" xr:uid="{00000000-0005-0000-0000-0000E5070000}"/>
    <cellStyle name="Migliaia [0] 6 4" xfId="3608" xr:uid="{00000000-0005-0000-0000-0000E6070000}"/>
    <cellStyle name="Migliaia [0] 6 5" xfId="5740" xr:uid="{00000000-0005-0000-0000-0000E7070000}"/>
    <cellStyle name="Migliaia [0] 6 6" xfId="6685" xr:uid="{00000000-0005-0000-0000-0000E8070000}"/>
    <cellStyle name="Migliaia [0] 6 7" xfId="4763" xr:uid="{00000000-0005-0000-0000-0000E9070000}"/>
    <cellStyle name="Migliaia [0] 7" xfId="140" xr:uid="{00000000-0005-0000-0000-0000EA070000}"/>
    <cellStyle name="Migliaia [0] 7 2" xfId="2071" xr:uid="{00000000-0005-0000-0000-0000EB070000}"/>
    <cellStyle name="Migliaia [0] 7 2 2" xfId="3609" xr:uid="{00000000-0005-0000-0000-0000EC070000}"/>
    <cellStyle name="Migliaia [0] 7 2 2 2" xfId="5746" xr:uid="{00000000-0005-0000-0000-0000ED070000}"/>
    <cellStyle name="Migliaia [0] 7 2 2 3" xfId="6691" xr:uid="{00000000-0005-0000-0000-0000EE070000}"/>
    <cellStyle name="Migliaia [0] 7 2 2 4" xfId="4769" xr:uid="{00000000-0005-0000-0000-0000EF070000}"/>
    <cellStyle name="Migliaia [0] 7 2 3" xfId="3610" xr:uid="{00000000-0005-0000-0000-0000F0070000}"/>
    <cellStyle name="Migliaia [0] 7 2 4" xfId="5745" xr:uid="{00000000-0005-0000-0000-0000F1070000}"/>
    <cellStyle name="Migliaia [0] 7 2 5" xfId="6690" xr:uid="{00000000-0005-0000-0000-0000F2070000}"/>
    <cellStyle name="Migliaia [0] 7 2 6" xfId="4768" xr:uid="{00000000-0005-0000-0000-0000F3070000}"/>
    <cellStyle name="Migliaia [0] 7 3" xfId="3611" xr:uid="{00000000-0005-0000-0000-0000F4070000}"/>
    <cellStyle name="Migliaia [0] 7 3 2" xfId="5747" xr:uid="{00000000-0005-0000-0000-0000F5070000}"/>
    <cellStyle name="Migliaia [0] 7 3 3" xfId="6692" xr:uid="{00000000-0005-0000-0000-0000F6070000}"/>
    <cellStyle name="Migliaia [0] 7 3 4" xfId="4770" xr:uid="{00000000-0005-0000-0000-0000F7070000}"/>
    <cellStyle name="Migliaia [0] 7 4" xfId="3612" xr:uid="{00000000-0005-0000-0000-0000F8070000}"/>
    <cellStyle name="Migliaia [0] 7 5" xfId="5744" xr:uid="{00000000-0005-0000-0000-0000F9070000}"/>
    <cellStyle name="Migliaia [0] 7 6" xfId="6689" xr:uid="{00000000-0005-0000-0000-0000FA070000}"/>
    <cellStyle name="Migliaia [0] 7 7" xfId="4767" xr:uid="{00000000-0005-0000-0000-0000FB070000}"/>
    <cellStyle name="Migliaia [0] 8" xfId="141" xr:uid="{00000000-0005-0000-0000-0000FC070000}"/>
    <cellStyle name="Migliaia [0] 8 2" xfId="2072" xr:uid="{00000000-0005-0000-0000-0000FD070000}"/>
    <cellStyle name="Migliaia [0] 8 2 2" xfId="3613" xr:uid="{00000000-0005-0000-0000-0000FE070000}"/>
    <cellStyle name="Migliaia [0] 8 2 2 2" xfId="5750" xr:uid="{00000000-0005-0000-0000-0000FF070000}"/>
    <cellStyle name="Migliaia [0] 8 2 2 3" xfId="6695" xr:uid="{00000000-0005-0000-0000-000000080000}"/>
    <cellStyle name="Migliaia [0] 8 2 2 4" xfId="4773" xr:uid="{00000000-0005-0000-0000-000001080000}"/>
    <cellStyle name="Migliaia [0] 8 2 3" xfId="3614" xr:uid="{00000000-0005-0000-0000-000002080000}"/>
    <cellStyle name="Migliaia [0] 8 2 4" xfId="5749" xr:uid="{00000000-0005-0000-0000-000003080000}"/>
    <cellStyle name="Migliaia [0] 8 2 5" xfId="6694" xr:uid="{00000000-0005-0000-0000-000004080000}"/>
    <cellStyle name="Migliaia [0] 8 2 6" xfId="4772" xr:uid="{00000000-0005-0000-0000-000005080000}"/>
    <cellStyle name="Migliaia [0] 8 3" xfId="3615" xr:uid="{00000000-0005-0000-0000-000006080000}"/>
    <cellStyle name="Migliaia [0] 8 3 2" xfId="5751" xr:uid="{00000000-0005-0000-0000-000007080000}"/>
    <cellStyle name="Migliaia [0] 8 3 3" xfId="6696" xr:uid="{00000000-0005-0000-0000-000008080000}"/>
    <cellStyle name="Migliaia [0] 8 3 4" xfId="4774" xr:uid="{00000000-0005-0000-0000-000009080000}"/>
    <cellStyle name="Migliaia [0] 8 4" xfId="3616" xr:uid="{00000000-0005-0000-0000-00000A080000}"/>
    <cellStyle name="Migliaia [0] 8 5" xfId="5748" xr:uid="{00000000-0005-0000-0000-00000B080000}"/>
    <cellStyle name="Migliaia [0] 8 6" xfId="6693" xr:uid="{00000000-0005-0000-0000-00000C080000}"/>
    <cellStyle name="Migliaia [0] 8 7" xfId="4771" xr:uid="{00000000-0005-0000-0000-00000D080000}"/>
    <cellStyle name="Migliaia [0] 9" xfId="142" xr:uid="{00000000-0005-0000-0000-00000E080000}"/>
    <cellStyle name="Migliaia [0] 9 2" xfId="2073" xr:uid="{00000000-0005-0000-0000-00000F080000}"/>
    <cellStyle name="Migliaia [0] 9 2 2" xfId="3617" xr:uid="{00000000-0005-0000-0000-000010080000}"/>
    <cellStyle name="Migliaia [0] 9 2 2 2" xfId="5754" xr:uid="{00000000-0005-0000-0000-000011080000}"/>
    <cellStyle name="Migliaia [0] 9 2 2 3" xfId="6699" xr:uid="{00000000-0005-0000-0000-000012080000}"/>
    <cellStyle name="Migliaia [0] 9 2 2 4" xfId="4777" xr:uid="{00000000-0005-0000-0000-000013080000}"/>
    <cellStyle name="Migliaia [0] 9 2 3" xfId="3618" xr:uid="{00000000-0005-0000-0000-000014080000}"/>
    <cellStyle name="Migliaia [0] 9 2 4" xfId="5753" xr:uid="{00000000-0005-0000-0000-000015080000}"/>
    <cellStyle name="Migliaia [0] 9 2 5" xfId="6698" xr:uid="{00000000-0005-0000-0000-000016080000}"/>
    <cellStyle name="Migliaia [0] 9 2 6" xfId="4776" xr:uid="{00000000-0005-0000-0000-000017080000}"/>
    <cellStyle name="Migliaia [0] 9 3" xfId="3619" xr:uid="{00000000-0005-0000-0000-000018080000}"/>
    <cellStyle name="Migliaia [0] 9 3 2" xfId="5755" xr:uid="{00000000-0005-0000-0000-000019080000}"/>
    <cellStyle name="Migliaia [0] 9 3 3" xfId="6700" xr:uid="{00000000-0005-0000-0000-00001A080000}"/>
    <cellStyle name="Migliaia [0] 9 3 4" xfId="4778" xr:uid="{00000000-0005-0000-0000-00001B080000}"/>
    <cellStyle name="Migliaia [0] 9 4" xfId="3620" xr:uid="{00000000-0005-0000-0000-00001C080000}"/>
    <cellStyle name="Migliaia [0] 9 5" xfId="5752" xr:uid="{00000000-0005-0000-0000-00001D080000}"/>
    <cellStyle name="Migliaia [0] 9 6" xfId="6697" xr:uid="{00000000-0005-0000-0000-00001E080000}"/>
    <cellStyle name="Migliaia [0] 9 7" xfId="4775" xr:uid="{00000000-0005-0000-0000-00001F080000}"/>
    <cellStyle name="Migliaia 10" xfId="143" xr:uid="{00000000-0005-0000-0000-000020080000}"/>
    <cellStyle name="Migliaia 10 2" xfId="489" xr:uid="{00000000-0005-0000-0000-000021080000}"/>
    <cellStyle name="Migliaia 10 2 2" xfId="2318" xr:uid="{00000000-0005-0000-0000-000022080000}"/>
    <cellStyle name="Migliaia 10 2 2 2" xfId="3621" xr:uid="{00000000-0005-0000-0000-000023080000}"/>
    <cellStyle name="Migliaia 10 2 2 3" xfId="5758" xr:uid="{00000000-0005-0000-0000-000024080000}"/>
    <cellStyle name="Migliaia 10 2 2 4" xfId="6703" xr:uid="{00000000-0005-0000-0000-000025080000}"/>
    <cellStyle name="Migliaia 10 2 2 5" xfId="4781" xr:uid="{00000000-0005-0000-0000-000026080000}"/>
    <cellStyle name="Migliaia 10 2 3" xfId="3622" xr:uid="{00000000-0005-0000-0000-000027080000}"/>
    <cellStyle name="Migliaia 10 2 4" xfId="5757" xr:uid="{00000000-0005-0000-0000-000028080000}"/>
    <cellStyle name="Migliaia 10 2 5" xfId="6702" xr:uid="{00000000-0005-0000-0000-000029080000}"/>
    <cellStyle name="Migliaia 10 2 6" xfId="4780" xr:uid="{00000000-0005-0000-0000-00002A080000}"/>
    <cellStyle name="Migliaia 10 3" xfId="966" xr:uid="{00000000-0005-0000-0000-00002B080000}"/>
    <cellStyle name="Migliaia 10 3 2" xfId="967" xr:uid="{00000000-0005-0000-0000-00002C080000}"/>
    <cellStyle name="Migliaia 10 3 2 2" xfId="3623" xr:uid="{00000000-0005-0000-0000-00002D080000}"/>
    <cellStyle name="Migliaia 10 3 2 2 2" xfId="5761" xr:uid="{00000000-0005-0000-0000-00002E080000}"/>
    <cellStyle name="Migliaia 10 3 2 2 3" xfId="6706" xr:uid="{00000000-0005-0000-0000-00002F080000}"/>
    <cellStyle name="Migliaia 10 3 2 2 4" xfId="4784" xr:uid="{00000000-0005-0000-0000-000030080000}"/>
    <cellStyle name="Migliaia 10 3 2 3" xfId="3624" xr:uid="{00000000-0005-0000-0000-000031080000}"/>
    <cellStyle name="Migliaia 10 3 2 4" xfId="5760" xr:uid="{00000000-0005-0000-0000-000032080000}"/>
    <cellStyle name="Migliaia 10 3 2 5" xfId="6705" xr:uid="{00000000-0005-0000-0000-000033080000}"/>
    <cellStyle name="Migliaia 10 3 2 6" xfId="4783" xr:uid="{00000000-0005-0000-0000-000034080000}"/>
    <cellStyle name="Migliaia 10 3 3" xfId="968" xr:uid="{00000000-0005-0000-0000-000035080000}"/>
    <cellStyle name="Migliaia 10 3 3 2" xfId="2320" xr:uid="{00000000-0005-0000-0000-000036080000}"/>
    <cellStyle name="Migliaia 10 3 4" xfId="2319" xr:uid="{00000000-0005-0000-0000-000037080000}"/>
    <cellStyle name="Migliaia 10 3 5" xfId="3625" xr:uid="{00000000-0005-0000-0000-000038080000}"/>
    <cellStyle name="Migliaia 10 3 6" xfId="5759" xr:uid="{00000000-0005-0000-0000-000039080000}"/>
    <cellStyle name="Migliaia 10 3 7" xfId="6704" xr:uid="{00000000-0005-0000-0000-00003A080000}"/>
    <cellStyle name="Migliaia 10 3 8" xfId="4782" xr:uid="{00000000-0005-0000-0000-00003B080000}"/>
    <cellStyle name="Migliaia 10 4" xfId="969" xr:uid="{00000000-0005-0000-0000-00003C080000}"/>
    <cellStyle name="Migliaia 10 4 2" xfId="970" xr:uid="{00000000-0005-0000-0000-00003D080000}"/>
    <cellStyle name="Migliaia 10 4 2 2" xfId="2322" xr:uid="{00000000-0005-0000-0000-00003E080000}"/>
    <cellStyle name="Migliaia 10 4 2 3" xfId="3626" xr:uid="{00000000-0005-0000-0000-00003F080000}"/>
    <cellStyle name="Migliaia 10 4 2 4" xfId="5763" xr:uid="{00000000-0005-0000-0000-000040080000}"/>
    <cellStyle name="Migliaia 10 4 2 5" xfId="6708" xr:uid="{00000000-0005-0000-0000-000041080000}"/>
    <cellStyle name="Migliaia 10 4 2 6" xfId="4786" xr:uid="{00000000-0005-0000-0000-000042080000}"/>
    <cellStyle name="Migliaia 10 4 3" xfId="2321" xr:uid="{00000000-0005-0000-0000-000043080000}"/>
    <cellStyle name="Migliaia 10 4 4" xfId="3627" xr:uid="{00000000-0005-0000-0000-000044080000}"/>
    <cellStyle name="Migliaia 10 4 5" xfId="5762" xr:uid="{00000000-0005-0000-0000-000045080000}"/>
    <cellStyle name="Migliaia 10 4 6" xfId="6707" xr:uid="{00000000-0005-0000-0000-000046080000}"/>
    <cellStyle name="Migliaia 10 4 7" xfId="4785" xr:uid="{00000000-0005-0000-0000-000047080000}"/>
    <cellStyle name="Migliaia 10 5" xfId="971" xr:uid="{00000000-0005-0000-0000-000048080000}"/>
    <cellStyle name="Migliaia 10 5 2" xfId="3628" xr:uid="{00000000-0005-0000-0000-000049080000}"/>
    <cellStyle name="Migliaia 10 5 3" xfId="5764" xr:uid="{00000000-0005-0000-0000-00004A080000}"/>
    <cellStyle name="Migliaia 10 5 4" xfId="6709" xr:uid="{00000000-0005-0000-0000-00004B080000}"/>
    <cellStyle name="Migliaia 10 5 5" xfId="4787" xr:uid="{00000000-0005-0000-0000-00004C080000}"/>
    <cellStyle name="Migliaia 10 6" xfId="3629" xr:uid="{00000000-0005-0000-0000-00004D080000}"/>
    <cellStyle name="Migliaia 10 7" xfId="5756" xr:uid="{00000000-0005-0000-0000-00004E080000}"/>
    <cellStyle name="Migliaia 10 8" xfId="6701" xr:uid="{00000000-0005-0000-0000-00004F080000}"/>
    <cellStyle name="Migliaia 10 9" xfId="4779" xr:uid="{00000000-0005-0000-0000-000050080000}"/>
    <cellStyle name="Migliaia 11" xfId="144" xr:uid="{00000000-0005-0000-0000-000051080000}"/>
    <cellStyle name="Migliaia 11 2" xfId="490" xr:uid="{00000000-0005-0000-0000-000052080000}"/>
    <cellStyle name="Migliaia 11 2 2" xfId="2323" xr:uid="{00000000-0005-0000-0000-000053080000}"/>
    <cellStyle name="Migliaia 11 2 2 2" xfId="3630" xr:uid="{00000000-0005-0000-0000-000054080000}"/>
    <cellStyle name="Migliaia 11 2 2 3" xfId="5767" xr:uid="{00000000-0005-0000-0000-000055080000}"/>
    <cellStyle name="Migliaia 11 2 2 4" xfId="6712" xr:uid="{00000000-0005-0000-0000-000056080000}"/>
    <cellStyle name="Migliaia 11 2 2 5" xfId="4790" xr:uid="{00000000-0005-0000-0000-000057080000}"/>
    <cellStyle name="Migliaia 11 2 3" xfId="3631" xr:uid="{00000000-0005-0000-0000-000058080000}"/>
    <cellStyle name="Migliaia 11 2 4" xfId="5766" xr:uid="{00000000-0005-0000-0000-000059080000}"/>
    <cellStyle name="Migliaia 11 2 5" xfId="6711" xr:uid="{00000000-0005-0000-0000-00005A080000}"/>
    <cellStyle name="Migliaia 11 2 6" xfId="4789" xr:uid="{00000000-0005-0000-0000-00005B080000}"/>
    <cellStyle name="Migliaia 11 3" xfId="972" xr:uid="{00000000-0005-0000-0000-00005C080000}"/>
    <cellStyle name="Migliaia 11 3 2" xfId="973" xr:uid="{00000000-0005-0000-0000-00005D080000}"/>
    <cellStyle name="Migliaia 11 3 2 2" xfId="3632" xr:uid="{00000000-0005-0000-0000-00005E080000}"/>
    <cellStyle name="Migliaia 11 3 2 2 2" xfId="5770" xr:uid="{00000000-0005-0000-0000-00005F080000}"/>
    <cellStyle name="Migliaia 11 3 2 2 3" xfId="6715" xr:uid="{00000000-0005-0000-0000-000060080000}"/>
    <cellStyle name="Migliaia 11 3 2 2 4" xfId="4793" xr:uid="{00000000-0005-0000-0000-000061080000}"/>
    <cellStyle name="Migliaia 11 3 2 3" xfId="3633" xr:uid="{00000000-0005-0000-0000-000062080000}"/>
    <cellStyle name="Migliaia 11 3 2 4" xfId="5769" xr:uid="{00000000-0005-0000-0000-000063080000}"/>
    <cellStyle name="Migliaia 11 3 2 5" xfId="6714" xr:uid="{00000000-0005-0000-0000-000064080000}"/>
    <cellStyle name="Migliaia 11 3 2 6" xfId="4792" xr:uid="{00000000-0005-0000-0000-000065080000}"/>
    <cellStyle name="Migliaia 11 3 3" xfId="974" xr:uid="{00000000-0005-0000-0000-000066080000}"/>
    <cellStyle name="Migliaia 11 3 3 2" xfId="2325" xr:uid="{00000000-0005-0000-0000-000067080000}"/>
    <cellStyle name="Migliaia 11 3 4" xfId="2324" xr:uid="{00000000-0005-0000-0000-000068080000}"/>
    <cellStyle name="Migliaia 11 3 5" xfId="3634" xr:uid="{00000000-0005-0000-0000-000069080000}"/>
    <cellStyle name="Migliaia 11 3 6" xfId="5768" xr:uid="{00000000-0005-0000-0000-00006A080000}"/>
    <cellStyle name="Migliaia 11 3 7" xfId="6713" xr:uid="{00000000-0005-0000-0000-00006B080000}"/>
    <cellStyle name="Migliaia 11 3 8" xfId="4791" xr:uid="{00000000-0005-0000-0000-00006C080000}"/>
    <cellStyle name="Migliaia 11 4" xfId="975" xr:uid="{00000000-0005-0000-0000-00006D080000}"/>
    <cellStyle name="Migliaia 11 4 2" xfId="976" xr:uid="{00000000-0005-0000-0000-00006E080000}"/>
    <cellStyle name="Migliaia 11 4 2 2" xfId="2327" xr:uid="{00000000-0005-0000-0000-00006F080000}"/>
    <cellStyle name="Migliaia 11 4 2 3" xfId="3635" xr:uid="{00000000-0005-0000-0000-000070080000}"/>
    <cellStyle name="Migliaia 11 4 2 4" xfId="5772" xr:uid="{00000000-0005-0000-0000-000071080000}"/>
    <cellStyle name="Migliaia 11 4 2 5" xfId="6717" xr:uid="{00000000-0005-0000-0000-000072080000}"/>
    <cellStyle name="Migliaia 11 4 2 6" xfId="4795" xr:uid="{00000000-0005-0000-0000-000073080000}"/>
    <cellStyle name="Migliaia 11 4 3" xfId="2326" xr:uid="{00000000-0005-0000-0000-000074080000}"/>
    <cellStyle name="Migliaia 11 4 4" xfId="3636" xr:uid="{00000000-0005-0000-0000-000075080000}"/>
    <cellStyle name="Migliaia 11 4 5" xfId="5771" xr:uid="{00000000-0005-0000-0000-000076080000}"/>
    <cellStyle name="Migliaia 11 4 6" xfId="6716" xr:uid="{00000000-0005-0000-0000-000077080000}"/>
    <cellStyle name="Migliaia 11 4 7" xfId="4794" xr:uid="{00000000-0005-0000-0000-000078080000}"/>
    <cellStyle name="Migliaia 11 5" xfId="977" xr:uid="{00000000-0005-0000-0000-000079080000}"/>
    <cellStyle name="Migliaia 11 5 2" xfId="3637" xr:uid="{00000000-0005-0000-0000-00007A080000}"/>
    <cellStyle name="Migliaia 11 5 3" xfId="5773" xr:uid="{00000000-0005-0000-0000-00007B080000}"/>
    <cellStyle name="Migliaia 11 5 4" xfId="6718" xr:uid="{00000000-0005-0000-0000-00007C080000}"/>
    <cellStyle name="Migliaia 11 5 5" xfId="4796" xr:uid="{00000000-0005-0000-0000-00007D080000}"/>
    <cellStyle name="Migliaia 11 6" xfId="3638" xr:uid="{00000000-0005-0000-0000-00007E080000}"/>
    <cellStyle name="Migliaia 11 7" xfId="5765" xr:uid="{00000000-0005-0000-0000-00007F080000}"/>
    <cellStyle name="Migliaia 11 8" xfId="6710" xr:uid="{00000000-0005-0000-0000-000080080000}"/>
    <cellStyle name="Migliaia 11 9" xfId="4788" xr:uid="{00000000-0005-0000-0000-000081080000}"/>
    <cellStyle name="Migliaia 12" xfId="145" xr:uid="{00000000-0005-0000-0000-000082080000}"/>
    <cellStyle name="Migliaia 12 2" xfId="491" xr:uid="{00000000-0005-0000-0000-000083080000}"/>
    <cellStyle name="Migliaia 12 2 2" xfId="2328" xr:uid="{00000000-0005-0000-0000-000084080000}"/>
    <cellStyle name="Migliaia 12 2 2 2" xfId="3639" xr:uid="{00000000-0005-0000-0000-000085080000}"/>
    <cellStyle name="Migliaia 12 2 2 3" xfId="5776" xr:uid="{00000000-0005-0000-0000-000086080000}"/>
    <cellStyle name="Migliaia 12 2 2 4" xfId="6721" xr:uid="{00000000-0005-0000-0000-000087080000}"/>
    <cellStyle name="Migliaia 12 2 2 5" xfId="4799" xr:uid="{00000000-0005-0000-0000-000088080000}"/>
    <cellStyle name="Migliaia 12 2 3" xfId="3640" xr:uid="{00000000-0005-0000-0000-000089080000}"/>
    <cellStyle name="Migliaia 12 2 4" xfId="5775" xr:uid="{00000000-0005-0000-0000-00008A080000}"/>
    <cellStyle name="Migliaia 12 2 5" xfId="6720" xr:uid="{00000000-0005-0000-0000-00008B080000}"/>
    <cellStyle name="Migliaia 12 2 6" xfId="4798" xr:uid="{00000000-0005-0000-0000-00008C080000}"/>
    <cellStyle name="Migliaia 12 3" xfId="978" xr:uid="{00000000-0005-0000-0000-00008D080000}"/>
    <cellStyle name="Migliaia 12 3 2" xfId="979" xr:uid="{00000000-0005-0000-0000-00008E080000}"/>
    <cellStyle name="Migliaia 12 3 2 2" xfId="3641" xr:uid="{00000000-0005-0000-0000-00008F080000}"/>
    <cellStyle name="Migliaia 12 3 2 2 2" xfId="5779" xr:uid="{00000000-0005-0000-0000-000090080000}"/>
    <cellStyle name="Migliaia 12 3 2 2 3" xfId="6724" xr:uid="{00000000-0005-0000-0000-000091080000}"/>
    <cellStyle name="Migliaia 12 3 2 2 4" xfId="4802" xr:uid="{00000000-0005-0000-0000-000092080000}"/>
    <cellStyle name="Migliaia 12 3 2 3" xfId="3642" xr:uid="{00000000-0005-0000-0000-000093080000}"/>
    <cellStyle name="Migliaia 12 3 2 4" xfId="5778" xr:uid="{00000000-0005-0000-0000-000094080000}"/>
    <cellStyle name="Migliaia 12 3 2 5" xfId="6723" xr:uid="{00000000-0005-0000-0000-000095080000}"/>
    <cellStyle name="Migliaia 12 3 2 6" xfId="4801" xr:uid="{00000000-0005-0000-0000-000096080000}"/>
    <cellStyle name="Migliaia 12 3 3" xfId="980" xr:uid="{00000000-0005-0000-0000-000097080000}"/>
    <cellStyle name="Migliaia 12 3 3 2" xfId="2330" xr:uid="{00000000-0005-0000-0000-000098080000}"/>
    <cellStyle name="Migliaia 12 3 4" xfId="2329" xr:uid="{00000000-0005-0000-0000-000099080000}"/>
    <cellStyle name="Migliaia 12 3 5" xfId="3643" xr:uid="{00000000-0005-0000-0000-00009A080000}"/>
    <cellStyle name="Migliaia 12 3 6" xfId="5777" xr:uid="{00000000-0005-0000-0000-00009B080000}"/>
    <cellStyle name="Migliaia 12 3 7" xfId="6722" xr:uid="{00000000-0005-0000-0000-00009C080000}"/>
    <cellStyle name="Migliaia 12 3 8" xfId="4800" xr:uid="{00000000-0005-0000-0000-00009D080000}"/>
    <cellStyle name="Migliaia 12 4" xfId="981" xr:uid="{00000000-0005-0000-0000-00009E080000}"/>
    <cellStyle name="Migliaia 12 4 2" xfId="982" xr:uid="{00000000-0005-0000-0000-00009F080000}"/>
    <cellStyle name="Migliaia 12 4 2 2" xfId="2332" xr:uid="{00000000-0005-0000-0000-0000A0080000}"/>
    <cellStyle name="Migliaia 12 4 2 3" xfId="3644" xr:uid="{00000000-0005-0000-0000-0000A1080000}"/>
    <cellStyle name="Migliaia 12 4 2 4" xfId="5781" xr:uid="{00000000-0005-0000-0000-0000A2080000}"/>
    <cellStyle name="Migliaia 12 4 2 5" xfId="6726" xr:uid="{00000000-0005-0000-0000-0000A3080000}"/>
    <cellStyle name="Migliaia 12 4 2 6" xfId="4804" xr:uid="{00000000-0005-0000-0000-0000A4080000}"/>
    <cellStyle name="Migliaia 12 4 3" xfId="2331" xr:uid="{00000000-0005-0000-0000-0000A5080000}"/>
    <cellStyle name="Migliaia 12 4 4" xfId="3645" xr:uid="{00000000-0005-0000-0000-0000A6080000}"/>
    <cellStyle name="Migliaia 12 4 5" xfId="5780" xr:uid="{00000000-0005-0000-0000-0000A7080000}"/>
    <cellStyle name="Migliaia 12 4 6" xfId="6725" xr:uid="{00000000-0005-0000-0000-0000A8080000}"/>
    <cellStyle name="Migliaia 12 4 7" xfId="4803" xr:uid="{00000000-0005-0000-0000-0000A9080000}"/>
    <cellStyle name="Migliaia 12 5" xfId="983" xr:uid="{00000000-0005-0000-0000-0000AA080000}"/>
    <cellStyle name="Migliaia 12 5 2" xfId="3646" xr:uid="{00000000-0005-0000-0000-0000AB080000}"/>
    <cellStyle name="Migliaia 12 5 3" xfId="5782" xr:uid="{00000000-0005-0000-0000-0000AC080000}"/>
    <cellStyle name="Migliaia 12 5 4" xfId="6727" xr:uid="{00000000-0005-0000-0000-0000AD080000}"/>
    <cellStyle name="Migliaia 12 5 5" xfId="4805" xr:uid="{00000000-0005-0000-0000-0000AE080000}"/>
    <cellStyle name="Migliaia 12 6" xfId="3647" xr:uid="{00000000-0005-0000-0000-0000AF080000}"/>
    <cellStyle name="Migliaia 12 7" xfId="5774" xr:uid="{00000000-0005-0000-0000-0000B0080000}"/>
    <cellStyle name="Migliaia 12 8" xfId="6719" xr:uid="{00000000-0005-0000-0000-0000B1080000}"/>
    <cellStyle name="Migliaia 12 9" xfId="4797" xr:uid="{00000000-0005-0000-0000-0000B2080000}"/>
    <cellStyle name="Migliaia 13" xfId="146" xr:uid="{00000000-0005-0000-0000-0000B3080000}"/>
    <cellStyle name="Migliaia 13 2" xfId="492" xr:uid="{00000000-0005-0000-0000-0000B4080000}"/>
    <cellStyle name="Migliaia 13 2 2" xfId="2333" xr:uid="{00000000-0005-0000-0000-0000B5080000}"/>
    <cellStyle name="Migliaia 13 2 2 2" xfId="3648" xr:uid="{00000000-0005-0000-0000-0000B6080000}"/>
    <cellStyle name="Migliaia 13 2 2 3" xfId="5785" xr:uid="{00000000-0005-0000-0000-0000B7080000}"/>
    <cellStyle name="Migliaia 13 2 2 4" xfId="6730" xr:uid="{00000000-0005-0000-0000-0000B8080000}"/>
    <cellStyle name="Migliaia 13 2 2 5" xfId="4808" xr:uid="{00000000-0005-0000-0000-0000B9080000}"/>
    <cellStyle name="Migliaia 13 2 3" xfId="3649" xr:uid="{00000000-0005-0000-0000-0000BA080000}"/>
    <cellStyle name="Migliaia 13 2 4" xfId="5784" xr:uid="{00000000-0005-0000-0000-0000BB080000}"/>
    <cellStyle name="Migliaia 13 2 5" xfId="6729" xr:uid="{00000000-0005-0000-0000-0000BC080000}"/>
    <cellStyle name="Migliaia 13 2 6" xfId="4807" xr:uid="{00000000-0005-0000-0000-0000BD080000}"/>
    <cellStyle name="Migliaia 13 3" xfId="984" xr:uid="{00000000-0005-0000-0000-0000BE080000}"/>
    <cellStyle name="Migliaia 13 3 2" xfId="985" xr:uid="{00000000-0005-0000-0000-0000BF080000}"/>
    <cellStyle name="Migliaia 13 3 2 2" xfId="3650" xr:uid="{00000000-0005-0000-0000-0000C0080000}"/>
    <cellStyle name="Migliaia 13 3 2 2 2" xfId="5788" xr:uid="{00000000-0005-0000-0000-0000C1080000}"/>
    <cellStyle name="Migliaia 13 3 2 2 3" xfId="6733" xr:uid="{00000000-0005-0000-0000-0000C2080000}"/>
    <cellStyle name="Migliaia 13 3 2 2 4" xfId="4811" xr:uid="{00000000-0005-0000-0000-0000C3080000}"/>
    <cellStyle name="Migliaia 13 3 2 3" xfId="3651" xr:uid="{00000000-0005-0000-0000-0000C4080000}"/>
    <cellStyle name="Migliaia 13 3 2 4" xfId="5787" xr:uid="{00000000-0005-0000-0000-0000C5080000}"/>
    <cellStyle name="Migliaia 13 3 2 5" xfId="6732" xr:uid="{00000000-0005-0000-0000-0000C6080000}"/>
    <cellStyle name="Migliaia 13 3 2 6" xfId="4810" xr:uid="{00000000-0005-0000-0000-0000C7080000}"/>
    <cellStyle name="Migliaia 13 3 3" xfId="986" xr:uid="{00000000-0005-0000-0000-0000C8080000}"/>
    <cellStyle name="Migliaia 13 3 3 2" xfId="2335" xr:uid="{00000000-0005-0000-0000-0000C9080000}"/>
    <cellStyle name="Migliaia 13 3 4" xfId="2334" xr:uid="{00000000-0005-0000-0000-0000CA080000}"/>
    <cellStyle name="Migliaia 13 3 5" xfId="3652" xr:uid="{00000000-0005-0000-0000-0000CB080000}"/>
    <cellStyle name="Migliaia 13 3 6" xfId="5786" xr:uid="{00000000-0005-0000-0000-0000CC080000}"/>
    <cellStyle name="Migliaia 13 3 7" xfId="6731" xr:uid="{00000000-0005-0000-0000-0000CD080000}"/>
    <cellStyle name="Migliaia 13 3 8" xfId="4809" xr:uid="{00000000-0005-0000-0000-0000CE080000}"/>
    <cellStyle name="Migliaia 13 4" xfId="987" xr:uid="{00000000-0005-0000-0000-0000CF080000}"/>
    <cellStyle name="Migliaia 13 4 2" xfId="988" xr:uid="{00000000-0005-0000-0000-0000D0080000}"/>
    <cellStyle name="Migliaia 13 4 2 2" xfId="2337" xr:uid="{00000000-0005-0000-0000-0000D1080000}"/>
    <cellStyle name="Migliaia 13 4 2 3" xfId="3653" xr:uid="{00000000-0005-0000-0000-0000D2080000}"/>
    <cellStyle name="Migliaia 13 4 2 4" xfId="5790" xr:uid="{00000000-0005-0000-0000-0000D3080000}"/>
    <cellStyle name="Migliaia 13 4 2 5" xfId="6735" xr:uid="{00000000-0005-0000-0000-0000D4080000}"/>
    <cellStyle name="Migliaia 13 4 2 6" xfId="4813" xr:uid="{00000000-0005-0000-0000-0000D5080000}"/>
    <cellStyle name="Migliaia 13 4 3" xfId="2336" xr:uid="{00000000-0005-0000-0000-0000D6080000}"/>
    <cellStyle name="Migliaia 13 4 4" xfId="3654" xr:uid="{00000000-0005-0000-0000-0000D7080000}"/>
    <cellStyle name="Migliaia 13 4 5" xfId="5789" xr:uid="{00000000-0005-0000-0000-0000D8080000}"/>
    <cellStyle name="Migliaia 13 4 6" xfId="6734" xr:uid="{00000000-0005-0000-0000-0000D9080000}"/>
    <cellStyle name="Migliaia 13 4 7" xfId="4812" xr:uid="{00000000-0005-0000-0000-0000DA080000}"/>
    <cellStyle name="Migliaia 13 5" xfId="989" xr:uid="{00000000-0005-0000-0000-0000DB080000}"/>
    <cellStyle name="Migliaia 13 5 2" xfId="3655" xr:uid="{00000000-0005-0000-0000-0000DC080000}"/>
    <cellStyle name="Migliaia 13 5 3" xfId="5791" xr:uid="{00000000-0005-0000-0000-0000DD080000}"/>
    <cellStyle name="Migliaia 13 5 4" xfId="6736" xr:uid="{00000000-0005-0000-0000-0000DE080000}"/>
    <cellStyle name="Migliaia 13 5 5" xfId="4814" xr:uid="{00000000-0005-0000-0000-0000DF080000}"/>
    <cellStyle name="Migliaia 13 6" xfId="3656" xr:uid="{00000000-0005-0000-0000-0000E0080000}"/>
    <cellStyle name="Migliaia 13 7" xfId="5783" xr:uid="{00000000-0005-0000-0000-0000E1080000}"/>
    <cellStyle name="Migliaia 13 8" xfId="6728" xr:uid="{00000000-0005-0000-0000-0000E2080000}"/>
    <cellStyle name="Migliaia 13 9" xfId="4806" xr:uid="{00000000-0005-0000-0000-0000E3080000}"/>
    <cellStyle name="Migliaia 14" xfId="147" xr:uid="{00000000-0005-0000-0000-0000E4080000}"/>
    <cellStyle name="Migliaia 14 2" xfId="493" xr:uid="{00000000-0005-0000-0000-0000E5080000}"/>
    <cellStyle name="Migliaia 14 2 2" xfId="2338" xr:uid="{00000000-0005-0000-0000-0000E6080000}"/>
    <cellStyle name="Migliaia 14 2 2 2" xfId="3657" xr:uid="{00000000-0005-0000-0000-0000E7080000}"/>
    <cellStyle name="Migliaia 14 2 2 3" xfId="5794" xr:uid="{00000000-0005-0000-0000-0000E8080000}"/>
    <cellStyle name="Migliaia 14 2 2 4" xfId="6739" xr:uid="{00000000-0005-0000-0000-0000E9080000}"/>
    <cellStyle name="Migliaia 14 2 2 5" xfId="4817" xr:uid="{00000000-0005-0000-0000-0000EA080000}"/>
    <cellStyle name="Migliaia 14 2 3" xfId="3658" xr:uid="{00000000-0005-0000-0000-0000EB080000}"/>
    <cellStyle name="Migliaia 14 2 4" xfId="5793" xr:uid="{00000000-0005-0000-0000-0000EC080000}"/>
    <cellStyle name="Migliaia 14 2 5" xfId="6738" xr:uid="{00000000-0005-0000-0000-0000ED080000}"/>
    <cellStyle name="Migliaia 14 2 6" xfId="4816" xr:uid="{00000000-0005-0000-0000-0000EE080000}"/>
    <cellStyle name="Migliaia 14 3" xfId="990" xr:uid="{00000000-0005-0000-0000-0000EF080000}"/>
    <cellStyle name="Migliaia 14 3 2" xfId="991" xr:uid="{00000000-0005-0000-0000-0000F0080000}"/>
    <cellStyle name="Migliaia 14 3 2 2" xfId="3659" xr:uid="{00000000-0005-0000-0000-0000F1080000}"/>
    <cellStyle name="Migliaia 14 3 2 2 2" xfId="5797" xr:uid="{00000000-0005-0000-0000-0000F2080000}"/>
    <cellStyle name="Migliaia 14 3 2 2 3" xfId="6742" xr:uid="{00000000-0005-0000-0000-0000F3080000}"/>
    <cellStyle name="Migliaia 14 3 2 2 4" xfId="4820" xr:uid="{00000000-0005-0000-0000-0000F4080000}"/>
    <cellStyle name="Migliaia 14 3 2 3" xfId="3660" xr:uid="{00000000-0005-0000-0000-0000F5080000}"/>
    <cellStyle name="Migliaia 14 3 2 4" xfId="5796" xr:uid="{00000000-0005-0000-0000-0000F6080000}"/>
    <cellStyle name="Migliaia 14 3 2 5" xfId="6741" xr:uid="{00000000-0005-0000-0000-0000F7080000}"/>
    <cellStyle name="Migliaia 14 3 2 6" xfId="4819" xr:uid="{00000000-0005-0000-0000-0000F8080000}"/>
    <cellStyle name="Migliaia 14 3 3" xfId="992" xr:uid="{00000000-0005-0000-0000-0000F9080000}"/>
    <cellStyle name="Migliaia 14 3 3 2" xfId="2340" xr:uid="{00000000-0005-0000-0000-0000FA080000}"/>
    <cellStyle name="Migliaia 14 3 4" xfId="2339" xr:uid="{00000000-0005-0000-0000-0000FB080000}"/>
    <cellStyle name="Migliaia 14 3 5" xfId="3661" xr:uid="{00000000-0005-0000-0000-0000FC080000}"/>
    <cellStyle name="Migliaia 14 3 6" xfId="5795" xr:uid="{00000000-0005-0000-0000-0000FD080000}"/>
    <cellStyle name="Migliaia 14 3 7" xfId="6740" xr:uid="{00000000-0005-0000-0000-0000FE080000}"/>
    <cellStyle name="Migliaia 14 3 8" xfId="4818" xr:uid="{00000000-0005-0000-0000-0000FF080000}"/>
    <cellStyle name="Migliaia 14 4" xfId="993" xr:uid="{00000000-0005-0000-0000-000000090000}"/>
    <cellStyle name="Migliaia 14 4 2" xfId="994" xr:uid="{00000000-0005-0000-0000-000001090000}"/>
    <cellStyle name="Migliaia 14 4 2 2" xfId="2342" xr:uid="{00000000-0005-0000-0000-000002090000}"/>
    <cellStyle name="Migliaia 14 4 2 3" xfId="3662" xr:uid="{00000000-0005-0000-0000-000003090000}"/>
    <cellStyle name="Migliaia 14 4 2 4" xfId="5799" xr:uid="{00000000-0005-0000-0000-000004090000}"/>
    <cellStyle name="Migliaia 14 4 2 5" xfId="6744" xr:uid="{00000000-0005-0000-0000-000005090000}"/>
    <cellStyle name="Migliaia 14 4 2 6" xfId="4822" xr:uid="{00000000-0005-0000-0000-000006090000}"/>
    <cellStyle name="Migliaia 14 4 3" xfId="2341" xr:uid="{00000000-0005-0000-0000-000007090000}"/>
    <cellStyle name="Migliaia 14 4 4" xfId="3663" xr:uid="{00000000-0005-0000-0000-000008090000}"/>
    <cellStyle name="Migliaia 14 4 5" xfId="5798" xr:uid="{00000000-0005-0000-0000-000009090000}"/>
    <cellStyle name="Migliaia 14 4 6" xfId="6743" xr:uid="{00000000-0005-0000-0000-00000A090000}"/>
    <cellStyle name="Migliaia 14 4 7" xfId="4821" xr:uid="{00000000-0005-0000-0000-00000B090000}"/>
    <cellStyle name="Migliaia 14 5" xfId="995" xr:uid="{00000000-0005-0000-0000-00000C090000}"/>
    <cellStyle name="Migliaia 14 5 2" xfId="3664" xr:uid="{00000000-0005-0000-0000-00000D090000}"/>
    <cellStyle name="Migliaia 14 5 3" xfId="5800" xr:uid="{00000000-0005-0000-0000-00000E090000}"/>
    <cellStyle name="Migliaia 14 5 4" xfId="6745" xr:uid="{00000000-0005-0000-0000-00000F090000}"/>
    <cellStyle name="Migliaia 14 5 5" xfId="4823" xr:uid="{00000000-0005-0000-0000-000010090000}"/>
    <cellStyle name="Migliaia 14 6" xfId="3665" xr:uid="{00000000-0005-0000-0000-000011090000}"/>
    <cellStyle name="Migliaia 14 7" xfId="5792" xr:uid="{00000000-0005-0000-0000-000012090000}"/>
    <cellStyle name="Migliaia 14 8" xfId="6737" xr:uid="{00000000-0005-0000-0000-000013090000}"/>
    <cellStyle name="Migliaia 14 9" xfId="4815" xr:uid="{00000000-0005-0000-0000-000014090000}"/>
    <cellStyle name="Migliaia 15" xfId="148" xr:uid="{00000000-0005-0000-0000-000015090000}"/>
    <cellStyle name="Migliaia 15 2" xfId="494" xr:uid="{00000000-0005-0000-0000-000016090000}"/>
    <cellStyle name="Migliaia 15 2 2" xfId="2343" xr:uid="{00000000-0005-0000-0000-000017090000}"/>
    <cellStyle name="Migliaia 15 2 2 2" xfId="3666" xr:uid="{00000000-0005-0000-0000-000018090000}"/>
    <cellStyle name="Migliaia 15 2 2 3" xfId="5803" xr:uid="{00000000-0005-0000-0000-000019090000}"/>
    <cellStyle name="Migliaia 15 2 2 4" xfId="6748" xr:uid="{00000000-0005-0000-0000-00001A090000}"/>
    <cellStyle name="Migliaia 15 2 2 5" xfId="4826" xr:uid="{00000000-0005-0000-0000-00001B090000}"/>
    <cellStyle name="Migliaia 15 2 3" xfId="3667" xr:uid="{00000000-0005-0000-0000-00001C090000}"/>
    <cellStyle name="Migliaia 15 2 4" xfId="5802" xr:uid="{00000000-0005-0000-0000-00001D090000}"/>
    <cellStyle name="Migliaia 15 2 5" xfId="6747" xr:uid="{00000000-0005-0000-0000-00001E090000}"/>
    <cellStyle name="Migliaia 15 2 6" xfId="4825" xr:uid="{00000000-0005-0000-0000-00001F090000}"/>
    <cellStyle name="Migliaia 15 3" xfId="996" xr:uid="{00000000-0005-0000-0000-000020090000}"/>
    <cellStyle name="Migliaia 15 3 2" xfId="997" xr:uid="{00000000-0005-0000-0000-000021090000}"/>
    <cellStyle name="Migliaia 15 3 2 2" xfId="3668" xr:uid="{00000000-0005-0000-0000-000022090000}"/>
    <cellStyle name="Migliaia 15 3 2 2 2" xfId="5806" xr:uid="{00000000-0005-0000-0000-000023090000}"/>
    <cellStyle name="Migliaia 15 3 2 2 3" xfId="6751" xr:uid="{00000000-0005-0000-0000-000024090000}"/>
    <cellStyle name="Migliaia 15 3 2 2 4" xfId="4829" xr:uid="{00000000-0005-0000-0000-000025090000}"/>
    <cellStyle name="Migliaia 15 3 2 3" xfId="3669" xr:uid="{00000000-0005-0000-0000-000026090000}"/>
    <cellStyle name="Migliaia 15 3 2 4" xfId="5805" xr:uid="{00000000-0005-0000-0000-000027090000}"/>
    <cellStyle name="Migliaia 15 3 2 5" xfId="6750" xr:uid="{00000000-0005-0000-0000-000028090000}"/>
    <cellStyle name="Migliaia 15 3 2 6" xfId="4828" xr:uid="{00000000-0005-0000-0000-000029090000}"/>
    <cellStyle name="Migliaia 15 3 3" xfId="998" xr:uid="{00000000-0005-0000-0000-00002A090000}"/>
    <cellStyle name="Migliaia 15 3 3 2" xfId="2345" xr:uid="{00000000-0005-0000-0000-00002B090000}"/>
    <cellStyle name="Migliaia 15 3 4" xfId="2344" xr:uid="{00000000-0005-0000-0000-00002C090000}"/>
    <cellStyle name="Migliaia 15 3 5" xfId="3670" xr:uid="{00000000-0005-0000-0000-00002D090000}"/>
    <cellStyle name="Migliaia 15 3 6" xfId="5804" xr:uid="{00000000-0005-0000-0000-00002E090000}"/>
    <cellStyle name="Migliaia 15 3 7" xfId="6749" xr:uid="{00000000-0005-0000-0000-00002F090000}"/>
    <cellStyle name="Migliaia 15 3 8" xfId="4827" xr:uid="{00000000-0005-0000-0000-000030090000}"/>
    <cellStyle name="Migliaia 15 4" xfId="999" xr:uid="{00000000-0005-0000-0000-000031090000}"/>
    <cellStyle name="Migliaia 15 4 2" xfId="1000" xr:uid="{00000000-0005-0000-0000-000032090000}"/>
    <cellStyle name="Migliaia 15 4 2 2" xfId="2347" xr:uid="{00000000-0005-0000-0000-000033090000}"/>
    <cellStyle name="Migliaia 15 4 2 3" xfId="3671" xr:uid="{00000000-0005-0000-0000-000034090000}"/>
    <cellStyle name="Migliaia 15 4 2 4" xfId="5808" xr:uid="{00000000-0005-0000-0000-000035090000}"/>
    <cellStyle name="Migliaia 15 4 2 5" xfId="6753" xr:uid="{00000000-0005-0000-0000-000036090000}"/>
    <cellStyle name="Migliaia 15 4 2 6" xfId="4831" xr:uid="{00000000-0005-0000-0000-000037090000}"/>
    <cellStyle name="Migliaia 15 4 3" xfId="2346" xr:uid="{00000000-0005-0000-0000-000038090000}"/>
    <cellStyle name="Migliaia 15 4 4" xfId="3672" xr:uid="{00000000-0005-0000-0000-000039090000}"/>
    <cellStyle name="Migliaia 15 4 5" xfId="5807" xr:uid="{00000000-0005-0000-0000-00003A090000}"/>
    <cellStyle name="Migliaia 15 4 6" xfId="6752" xr:uid="{00000000-0005-0000-0000-00003B090000}"/>
    <cellStyle name="Migliaia 15 4 7" xfId="4830" xr:uid="{00000000-0005-0000-0000-00003C090000}"/>
    <cellStyle name="Migliaia 15 5" xfId="1001" xr:uid="{00000000-0005-0000-0000-00003D090000}"/>
    <cellStyle name="Migliaia 15 5 2" xfId="3673" xr:uid="{00000000-0005-0000-0000-00003E090000}"/>
    <cellStyle name="Migliaia 15 5 3" xfId="5809" xr:uid="{00000000-0005-0000-0000-00003F090000}"/>
    <cellStyle name="Migliaia 15 5 4" xfId="6754" xr:uid="{00000000-0005-0000-0000-000040090000}"/>
    <cellStyle name="Migliaia 15 5 5" xfId="4832" xr:uid="{00000000-0005-0000-0000-000041090000}"/>
    <cellStyle name="Migliaia 15 6" xfId="3674" xr:uid="{00000000-0005-0000-0000-000042090000}"/>
    <cellStyle name="Migliaia 15 7" xfId="5801" xr:uid="{00000000-0005-0000-0000-000043090000}"/>
    <cellStyle name="Migliaia 15 8" xfId="6746" xr:uid="{00000000-0005-0000-0000-000044090000}"/>
    <cellStyle name="Migliaia 15 9" xfId="4824" xr:uid="{00000000-0005-0000-0000-000045090000}"/>
    <cellStyle name="Migliaia 16" xfId="149" xr:uid="{00000000-0005-0000-0000-000046090000}"/>
    <cellStyle name="Migliaia 16 2" xfId="495" xr:uid="{00000000-0005-0000-0000-000047090000}"/>
    <cellStyle name="Migliaia 16 2 2" xfId="2348" xr:uid="{00000000-0005-0000-0000-000048090000}"/>
    <cellStyle name="Migliaia 16 2 2 2" xfId="3675" xr:uid="{00000000-0005-0000-0000-000049090000}"/>
    <cellStyle name="Migliaia 16 2 2 3" xfId="5812" xr:uid="{00000000-0005-0000-0000-00004A090000}"/>
    <cellStyle name="Migliaia 16 2 2 4" xfId="6757" xr:uid="{00000000-0005-0000-0000-00004B090000}"/>
    <cellStyle name="Migliaia 16 2 2 5" xfId="4835" xr:uid="{00000000-0005-0000-0000-00004C090000}"/>
    <cellStyle name="Migliaia 16 2 3" xfId="3676" xr:uid="{00000000-0005-0000-0000-00004D090000}"/>
    <cellStyle name="Migliaia 16 2 4" xfId="5811" xr:uid="{00000000-0005-0000-0000-00004E090000}"/>
    <cellStyle name="Migliaia 16 2 5" xfId="6756" xr:uid="{00000000-0005-0000-0000-00004F090000}"/>
    <cellStyle name="Migliaia 16 2 6" xfId="4834" xr:uid="{00000000-0005-0000-0000-000050090000}"/>
    <cellStyle name="Migliaia 16 3" xfId="1002" xr:uid="{00000000-0005-0000-0000-000051090000}"/>
    <cellStyle name="Migliaia 16 3 2" xfId="1003" xr:uid="{00000000-0005-0000-0000-000052090000}"/>
    <cellStyle name="Migliaia 16 3 2 2" xfId="3677" xr:uid="{00000000-0005-0000-0000-000053090000}"/>
    <cellStyle name="Migliaia 16 3 2 2 2" xfId="5815" xr:uid="{00000000-0005-0000-0000-000054090000}"/>
    <cellStyle name="Migliaia 16 3 2 2 3" xfId="6760" xr:uid="{00000000-0005-0000-0000-000055090000}"/>
    <cellStyle name="Migliaia 16 3 2 2 4" xfId="4838" xr:uid="{00000000-0005-0000-0000-000056090000}"/>
    <cellStyle name="Migliaia 16 3 2 3" xfId="3678" xr:uid="{00000000-0005-0000-0000-000057090000}"/>
    <cellStyle name="Migliaia 16 3 2 4" xfId="5814" xr:uid="{00000000-0005-0000-0000-000058090000}"/>
    <cellStyle name="Migliaia 16 3 2 5" xfId="6759" xr:uid="{00000000-0005-0000-0000-000059090000}"/>
    <cellStyle name="Migliaia 16 3 2 6" xfId="4837" xr:uid="{00000000-0005-0000-0000-00005A090000}"/>
    <cellStyle name="Migliaia 16 3 3" xfId="1004" xr:uid="{00000000-0005-0000-0000-00005B090000}"/>
    <cellStyle name="Migliaia 16 3 3 2" xfId="2350" xr:uid="{00000000-0005-0000-0000-00005C090000}"/>
    <cellStyle name="Migliaia 16 3 4" xfId="2349" xr:uid="{00000000-0005-0000-0000-00005D090000}"/>
    <cellStyle name="Migliaia 16 3 5" xfId="3679" xr:uid="{00000000-0005-0000-0000-00005E090000}"/>
    <cellStyle name="Migliaia 16 3 6" xfId="5813" xr:uid="{00000000-0005-0000-0000-00005F090000}"/>
    <cellStyle name="Migliaia 16 3 7" xfId="6758" xr:uid="{00000000-0005-0000-0000-000060090000}"/>
    <cellStyle name="Migliaia 16 3 8" xfId="4836" xr:uid="{00000000-0005-0000-0000-000061090000}"/>
    <cellStyle name="Migliaia 16 4" xfId="1005" xr:uid="{00000000-0005-0000-0000-000062090000}"/>
    <cellStyle name="Migliaia 16 4 2" xfId="1006" xr:uid="{00000000-0005-0000-0000-000063090000}"/>
    <cellStyle name="Migliaia 16 4 2 2" xfId="2352" xr:uid="{00000000-0005-0000-0000-000064090000}"/>
    <cellStyle name="Migliaia 16 4 2 3" xfId="3680" xr:uid="{00000000-0005-0000-0000-000065090000}"/>
    <cellStyle name="Migliaia 16 4 2 4" xfId="5817" xr:uid="{00000000-0005-0000-0000-000066090000}"/>
    <cellStyle name="Migliaia 16 4 2 5" xfId="6762" xr:uid="{00000000-0005-0000-0000-000067090000}"/>
    <cellStyle name="Migliaia 16 4 2 6" xfId="4840" xr:uid="{00000000-0005-0000-0000-000068090000}"/>
    <cellStyle name="Migliaia 16 4 3" xfId="2351" xr:uid="{00000000-0005-0000-0000-000069090000}"/>
    <cellStyle name="Migliaia 16 4 4" xfId="3681" xr:uid="{00000000-0005-0000-0000-00006A090000}"/>
    <cellStyle name="Migliaia 16 4 5" xfId="5816" xr:uid="{00000000-0005-0000-0000-00006B090000}"/>
    <cellStyle name="Migliaia 16 4 6" xfId="6761" xr:uid="{00000000-0005-0000-0000-00006C090000}"/>
    <cellStyle name="Migliaia 16 4 7" xfId="4839" xr:uid="{00000000-0005-0000-0000-00006D090000}"/>
    <cellStyle name="Migliaia 16 5" xfId="1007" xr:uid="{00000000-0005-0000-0000-00006E090000}"/>
    <cellStyle name="Migliaia 16 5 2" xfId="3682" xr:uid="{00000000-0005-0000-0000-00006F090000}"/>
    <cellStyle name="Migliaia 16 5 3" xfId="5818" xr:uid="{00000000-0005-0000-0000-000070090000}"/>
    <cellStyle name="Migliaia 16 5 4" xfId="6763" xr:uid="{00000000-0005-0000-0000-000071090000}"/>
    <cellStyle name="Migliaia 16 5 5" xfId="4841" xr:uid="{00000000-0005-0000-0000-000072090000}"/>
    <cellStyle name="Migliaia 16 6" xfId="3683" xr:uid="{00000000-0005-0000-0000-000073090000}"/>
    <cellStyle name="Migliaia 16 7" xfId="5810" xr:uid="{00000000-0005-0000-0000-000074090000}"/>
    <cellStyle name="Migliaia 16 8" xfId="6755" xr:uid="{00000000-0005-0000-0000-000075090000}"/>
    <cellStyle name="Migliaia 16 9" xfId="4833" xr:uid="{00000000-0005-0000-0000-000076090000}"/>
    <cellStyle name="Migliaia 17" xfId="150" xr:uid="{00000000-0005-0000-0000-000077090000}"/>
    <cellStyle name="Migliaia 17 2" xfId="496" xr:uid="{00000000-0005-0000-0000-000078090000}"/>
    <cellStyle name="Migliaia 17 2 2" xfId="2353" xr:uid="{00000000-0005-0000-0000-000079090000}"/>
    <cellStyle name="Migliaia 17 2 2 2" xfId="3684" xr:uid="{00000000-0005-0000-0000-00007A090000}"/>
    <cellStyle name="Migliaia 17 2 2 3" xfId="5821" xr:uid="{00000000-0005-0000-0000-00007B090000}"/>
    <cellStyle name="Migliaia 17 2 2 4" xfId="6766" xr:uid="{00000000-0005-0000-0000-00007C090000}"/>
    <cellStyle name="Migliaia 17 2 2 5" xfId="4844" xr:uid="{00000000-0005-0000-0000-00007D090000}"/>
    <cellStyle name="Migliaia 17 2 3" xfId="3685" xr:uid="{00000000-0005-0000-0000-00007E090000}"/>
    <cellStyle name="Migliaia 17 2 4" xfId="5820" xr:uid="{00000000-0005-0000-0000-00007F090000}"/>
    <cellStyle name="Migliaia 17 2 5" xfId="6765" xr:uid="{00000000-0005-0000-0000-000080090000}"/>
    <cellStyle name="Migliaia 17 2 6" xfId="4843" xr:uid="{00000000-0005-0000-0000-000081090000}"/>
    <cellStyle name="Migliaia 17 3" xfId="1008" xr:uid="{00000000-0005-0000-0000-000082090000}"/>
    <cellStyle name="Migliaia 17 3 2" xfId="1009" xr:uid="{00000000-0005-0000-0000-000083090000}"/>
    <cellStyle name="Migliaia 17 3 2 2" xfId="3686" xr:uid="{00000000-0005-0000-0000-000084090000}"/>
    <cellStyle name="Migliaia 17 3 2 2 2" xfId="5824" xr:uid="{00000000-0005-0000-0000-000085090000}"/>
    <cellStyle name="Migliaia 17 3 2 2 3" xfId="6769" xr:uid="{00000000-0005-0000-0000-000086090000}"/>
    <cellStyle name="Migliaia 17 3 2 2 4" xfId="4847" xr:uid="{00000000-0005-0000-0000-000087090000}"/>
    <cellStyle name="Migliaia 17 3 2 3" xfId="3687" xr:uid="{00000000-0005-0000-0000-000088090000}"/>
    <cellStyle name="Migliaia 17 3 2 4" xfId="5823" xr:uid="{00000000-0005-0000-0000-000089090000}"/>
    <cellStyle name="Migliaia 17 3 2 5" xfId="6768" xr:uid="{00000000-0005-0000-0000-00008A090000}"/>
    <cellStyle name="Migliaia 17 3 2 6" xfId="4846" xr:uid="{00000000-0005-0000-0000-00008B090000}"/>
    <cellStyle name="Migliaia 17 3 3" xfId="1010" xr:uid="{00000000-0005-0000-0000-00008C090000}"/>
    <cellStyle name="Migliaia 17 3 3 2" xfId="2355" xr:uid="{00000000-0005-0000-0000-00008D090000}"/>
    <cellStyle name="Migliaia 17 3 4" xfId="2354" xr:uid="{00000000-0005-0000-0000-00008E090000}"/>
    <cellStyle name="Migliaia 17 3 5" xfId="3688" xr:uid="{00000000-0005-0000-0000-00008F090000}"/>
    <cellStyle name="Migliaia 17 3 6" xfId="5822" xr:uid="{00000000-0005-0000-0000-000090090000}"/>
    <cellStyle name="Migliaia 17 3 7" xfId="6767" xr:uid="{00000000-0005-0000-0000-000091090000}"/>
    <cellStyle name="Migliaia 17 3 8" xfId="4845" xr:uid="{00000000-0005-0000-0000-000092090000}"/>
    <cellStyle name="Migliaia 17 4" xfId="1011" xr:uid="{00000000-0005-0000-0000-000093090000}"/>
    <cellStyle name="Migliaia 17 4 2" xfId="1012" xr:uid="{00000000-0005-0000-0000-000094090000}"/>
    <cellStyle name="Migliaia 17 4 2 2" xfId="2357" xr:uid="{00000000-0005-0000-0000-000095090000}"/>
    <cellStyle name="Migliaia 17 4 2 3" xfId="3689" xr:uid="{00000000-0005-0000-0000-000096090000}"/>
    <cellStyle name="Migliaia 17 4 2 4" xfId="5826" xr:uid="{00000000-0005-0000-0000-000097090000}"/>
    <cellStyle name="Migliaia 17 4 2 5" xfId="6771" xr:uid="{00000000-0005-0000-0000-000098090000}"/>
    <cellStyle name="Migliaia 17 4 2 6" xfId="4849" xr:uid="{00000000-0005-0000-0000-000099090000}"/>
    <cellStyle name="Migliaia 17 4 3" xfId="2356" xr:uid="{00000000-0005-0000-0000-00009A090000}"/>
    <cellStyle name="Migliaia 17 4 4" xfId="3690" xr:uid="{00000000-0005-0000-0000-00009B090000}"/>
    <cellStyle name="Migliaia 17 4 5" xfId="5825" xr:uid="{00000000-0005-0000-0000-00009C090000}"/>
    <cellStyle name="Migliaia 17 4 6" xfId="6770" xr:uid="{00000000-0005-0000-0000-00009D090000}"/>
    <cellStyle name="Migliaia 17 4 7" xfId="4848" xr:uid="{00000000-0005-0000-0000-00009E090000}"/>
    <cellStyle name="Migliaia 17 5" xfId="1013" xr:uid="{00000000-0005-0000-0000-00009F090000}"/>
    <cellStyle name="Migliaia 17 5 2" xfId="3691" xr:uid="{00000000-0005-0000-0000-0000A0090000}"/>
    <cellStyle name="Migliaia 17 5 3" xfId="5827" xr:uid="{00000000-0005-0000-0000-0000A1090000}"/>
    <cellStyle name="Migliaia 17 5 4" xfId="6772" xr:uid="{00000000-0005-0000-0000-0000A2090000}"/>
    <cellStyle name="Migliaia 17 5 5" xfId="4850" xr:uid="{00000000-0005-0000-0000-0000A3090000}"/>
    <cellStyle name="Migliaia 17 6" xfId="3692" xr:uid="{00000000-0005-0000-0000-0000A4090000}"/>
    <cellStyle name="Migliaia 17 7" xfId="5819" xr:uid="{00000000-0005-0000-0000-0000A5090000}"/>
    <cellStyle name="Migliaia 17 8" xfId="6764" xr:uid="{00000000-0005-0000-0000-0000A6090000}"/>
    <cellStyle name="Migliaia 17 9" xfId="4842" xr:uid="{00000000-0005-0000-0000-0000A7090000}"/>
    <cellStyle name="Migliaia 18" xfId="151" xr:uid="{00000000-0005-0000-0000-0000A8090000}"/>
    <cellStyle name="Migliaia 18 2" xfId="497" xr:uid="{00000000-0005-0000-0000-0000A9090000}"/>
    <cellStyle name="Migliaia 18 2 2" xfId="2358" xr:uid="{00000000-0005-0000-0000-0000AA090000}"/>
    <cellStyle name="Migliaia 18 2 2 2" xfId="3693" xr:uid="{00000000-0005-0000-0000-0000AB090000}"/>
    <cellStyle name="Migliaia 18 2 2 3" xfId="5830" xr:uid="{00000000-0005-0000-0000-0000AC090000}"/>
    <cellStyle name="Migliaia 18 2 2 4" xfId="6775" xr:uid="{00000000-0005-0000-0000-0000AD090000}"/>
    <cellStyle name="Migliaia 18 2 2 5" xfId="4853" xr:uid="{00000000-0005-0000-0000-0000AE090000}"/>
    <cellStyle name="Migliaia 18 2 3" xfId="3694" xr:uid="{00000000-0005-0000-0000-0000AF090000}"/>
    <cellStyle name="Migliaia 18 2 4" xfId="5829" xr:uid="{00000000-0005-0000-0000-0000B0090000}"/>
    <cellStyle name="Migliaia 18 2 5" xfId="6774" xr:uid="{00000000-0005-0000-0000-0000B1090000}"/>
    <cellStyle name="Migliaia 18 2 6" xfId="4852" xr:uid="{00000000-0005-0000-0000-0000B2090000}"/>
    <cellStyle name="Migliaia 18 3" xfId="1014" xr:uid="{00000000-0005-0000-0000-0000B3090000}"/>
    <cellStyle name="Migliaia 18 3 2" xfId="1015" xr:uid="{00000000-0005-0000-0000-0000B4090000}"/>
    <cellStyle name="Migliaia 18 3 2 2" xfId="3695" xr:uid="{00000000-0005-0000-0000-0000B5090000}"/>
    <cellStyle name="Migliaia 18 3 2 2 2" xfId="5833" xr:uid="{00000000-0005-0000-0000-0000B6090000}"/>
    <cellStyle name="Migliaia 18 3 2 2 3" xfId="6778" xr:uid="{00000000-0005-0000-0000-0000B7090000}"/>
    <cellStyle name="Migliaia 18 3 2 2 4" xfId="4856" xr:uid="{00000000-0005-0000-0000-0000B8090000}"/>
    <cellStyle name="Migliaia 18 3 2 3" xfId="3696" xr:uid="{00000000-0005-0000-0000-0000B9090000}"/>
    <cellStyle name="Migliaia 18 3 2 4" xfId="5832" xr:uid="{00000000-0005-0000-0000-0000BA090000}"/>
    <cellStyle name="Migliaia 18 3 2 5" xfId="6777" xr:uid="{00000000-0005-0000-0000-0000BB090000}"/>
    <cellStyle name="Migliaia 18 3 2 6" xfId="4855" xr:uid="{00000000-0005-0000-0000-0000BC090000}"/>
    <cellStyle name="Migliaia 18 3 3" xfId="1016" xr:uid="{00000000-0005-0000-0000-0000BD090000}"/>
    <cellStyle name="Migliaia 18 3 3 2" xfId="2360" xr:uid="{00000000-0005-0000-0000-0000BE090000}"/>
    <cellStyle name="Migliaia 18 3 4" xfId="2359" xr:uid="{00000000-0005-0000-0000-0000BF090000}"/>
    <cellStyle name="Migliaia 18 3 5" xfId="3697" xr:uid="{00000000-0005-0000-0000-0000C0090000}"/>
    <cellStyle name="Migliaia 18 3 6" xfId="5831" xr:uid="{00000000-0005-0000-0000-0000C1090000}"/>
    <cellStyle name="Migliaia 18 3 7" xfId="6776" xr:uid="{00000000-0005-0000-0000-0000C2090000}"/>
    <cellStyle name="Migliaia 18 3 8" xfId="4854" xr:uid="{00000000-0005-0000-0000-0000C3090000}"/>
    <cellStyle name="Migliaia 18 4" xfId="1017" xr:uid="{00000000-0005-0000-0000-0000C4090000}"/>
    <cellStyle name="Migliaia 18 4 2" xfId="1018" xr:uid="{00000000-0005-0000-0000-0000C5090000}"/>
    <cellStyle name="Migliaia 18 4 2 2" xfId="2362" xr:uid="{00000000-0005-0000-0000-0000C6090000}"/>
    <cellStyle name="Migliaia 18 4 2 3" xfId="3698" xr:uid="{00000000-0005-0000-0000-0000C7090000}"/>
    <cellStyle name="Migliaia 18 4 2 4" xfId="5835" xr:uid="{00000000-0005-0000-0000-0000C8090000}"/>
    <cellStyle name="Migliaia 18 4 2 5" xfId="6780" xr:uid="{00000000-0005-0000-0000-0000C9090000}"/>
    <cellStyle name="Migliaia 18 4 2 6" xfId="4858" xr:uid="{00000000-0005-0000-0000-0000CA090000}"/>
    <cellStyle name="Migliaia 18 4 3" xfId="2361" xr:uid="{00000000-0005-0000-0000-0000CB090000}"/>
    <cellStyle name="Migliaia 18 4 4" xfId="3699" xr:uid="{00000000-0005-0000-0000-0000CC090000}"/>
    <cellStyle name="Migliaia 18 4 5" xfId="5834" xr:uid="{00000000-0005-0000-0000-0000CD090000}"/>
    <cellStyle name="Migliaia 18 4 6" xfId="6779" xr:uid="{00000000-0005-0000-0000-0000CE090000}"/>
    <cellStyle name="Migliaia 18 4 7" xfId="4857" xr:uid="{00000000-0005-0000-0000-0000CF090000}"/>
    <cellStyle name="Migliaia 18 5" xfId="1019" xr:uid="{00000000-0005-0000-0000-0000D0090000}"/>
    <cellStyle name="Migliaia 18 5 2" xfId="3700" xr:uid="{00000000-0005-0000-0000-0000D1090000}"/>
    <cellStyle name="Migliaia 18 5 3" xfId="5836" xr:uid="{00000000-0005-0000-0000-0000D2090000}"/>
    <cellStyle name="Migliaia 18 5 4" xfId="6781" xr:uid="{00000000-0005-0000-0000-0000D3090000}"/>
    <cellStyle name="Migliaia 18 5 5" xfId="4859" xr:uid="{00000000-0005-0000-0000-0000D4090000}"/>
    <cellStyle name="Migliaia 18 6" xfId="3701" xr:uid="{00000000-0005-0000-0000-0000D5090000}"/>
    <cellStyle name="Migliaia 18 7" xfId="5828" xr:uid="{00000000-0005-0000-0000-0000D6090000}"/>
    <cellStyle name="Migliaia 18 8" xfId="6773" xr:uid="{00000000-0005-0000-0000-0000D7090000}"/>
    <cellStyle name="Migliaia 18 9" xfId="4851" xr:uid="{00000000-0005-0000-0000-0000D8090000}"/>
    <cellStyle name="Migliaia 19" xfId="152" xr:uid="{00000000-0005-0000-0000-0000D9090000}"/>
    <cellStyle name="Migliaia 19 2" xfId="498" xr:uid="{00000000-0005-0000-0000-0000DA090000}"/>
    <cellStyle name="Migliaia 19 2 2" xfId="2363" xr:uid="{00000000-0005-0000-0000-0000DB090000}"/>
    <cellStyle name="Migliaia 19 2 2 2" xfId="3702" xr:uid="{00000000-0005-0000-0000-0000DC090000}"/>
    <cellStyle name="Migliaia 19 2 2 3" xfId="5839" xr:uid="{00000000-0005-0000-0000-0000DD090000}"/>
    <cellStyle name="Migliaia 19 2 2 4" xfId="6784" xr:uid="{00000000-0005-0000-0000-0000DE090000}"/>
    <cellStyle name="Migliaia 19 2 2 5" xfId="4862" xr:uid="{00000000-0005-0000-0000-0000DF090000}"/>
    <cellStyle name="Migliaia 19 2 3" xfId="3703" xr:uid="{00000000-0005-0000-0000-0000E0090000}"/>
    <cellStyle name="Migliaia 19 2 4" xfId="5838" xr:uid="{00000000-0005-0000-0000-0000E1090000}"/>
    <cellStyle name="Migliaia 19 2 5" xfId="6783" xr:uid="{00000000-0005-0000-0000-0000E2090000}"/>
    <cellStyle name="Migliaia 19 2 6" xfId="4861" xr:uid="{00000000-0005-0000-0000-0000E3090000}"/>
    <cellStyle name="Migliaia 19 3" xfId="1020" xr:uid="{00000000-0005-0000-0000-0000E4090000}"/>
    <cellStyle name="Migliaia 19 3 2" xfId="1021" xr:uid="{00000000-0005-0000-0000-0000E5090000}"/>
    <cellStyle name="Migliaia 19 3 2 2" xfId="3704" xr:uid="{00000000-0005-0000-0000-0000E6090000}"/>
    <cellStyle name="Migliaia 19 3 2 2 2" xfId="5842" xr:uid="{00000000-0005-0000-0000-0000E7090000}"/>
    <cellStyle name="Migliaia 19 3 2 2 3" xfId="6787" xr:uid="{00000000-0005-0000-0000-0000E8090000}"/>
    <cellStyle name="Migliaia 19 3 2 2 4" xfId="4865" xr:uid="{00000000-0005-0000-0000-0000E9090000}"/>
    <cellStyle name="Migliaia 19 3 2 3" xfId="3705" xr:uid="{00000000-0005-0000-0000-0000EA090000}"/>
    <cellStyle name="Migliaia 19 3 2 4" xfId="5841" xr:uid="{00000000-0005-0000-0000-0000EB090000}"/>
    <cellStyle name="Migliaia 19 3 2 5" xfId="6786" xr:uid="{00000000-0005-0000-0000-0000EC090000}"/>
    <cellStyle name="Migliaia 19 3 2 6" xfId="4864" xr:uid="{00000000-0005-0000-0000-0000ED090000}"/>
    <cellStyle name="Migliaia 19 3 3" xfId="1022" xr:uid="{00000000-0005-0000-0000-0000EE090000}"/>
    <cellStyle name="Migliaia 19 3 3 2" xfId="2365" xr:uid="{00000000-0005-0000-0000-0000EF090000}"/>
    <cellStyle name="Migliaia 19 3 4" xfId="2364" xr:uid="{00000000-0005-0000-0000-0000F0090000}"/>
    <cellStyle name="Migliaia 19 3 5" xfId="3706" xr:uid="{00000000-0005-0000-0000-0000F1090000}"/>
    <cellStyle name="Migliaia 19 3 6" xfId="5840" xr:uid="{00000000-0005-0000-0000-0000F2090000}"/>
    <cellStyle name="Migliaia 19 3 7" xfId="6785" xr:uid="{00000000-0005-0000-0000-0000F3090000}"/>
    <cellStyle name="Migliaia 19 3 8" xfId="4863" xr:uid="{00000000-0005-0000-0000-0000F4090000}"/>
    <cellStyle name="Migliaia 19 4" xfId="1023" xr:uid="{00000000-0005-0000-0000-0000F5090000}"/>
    <cellStyle name="Migliaia 19 4 2" xfId="1024" xr:uid="{00000000-0005-0000-0000-0000F6090000}"/>
    <cellStyle name="Migliaia 19 4 2 2" xfId="2367" xr:uid="{00000000-0005-0000-0000-0000F7090000}"/>
    <cellStyle name="Migliaia 19 4 2 3" xfId="3707" xr:uid="{00000000-0005-0000-0000-0000F8090000}"/>
    <cellStyle name="Migliaia 19 4 2 4" xfId="5844" xr:uid="{00000000-0005-0000-0000-0000F9090000}"/>
    <cellStyle name="Migliaia 19 4 2 5" xfId="6789" xr:uid="{00000000-0005-0000-0000-0000FA090000}"/>
    <cellStyle name="Migliaia 19 4 2 6" xfId="4867" xr:uid="{00000000-0005-0000-0000-0000FB090000}"/>
    <cellStyle name="Migliaia 19 4 3" xfId="2366" xr:uid="{00000000-0005-0000-0000-0000FC090000}"/>
    <cellStyle name="Migliaia 19 4 4" xfId="3708" xr:uid="{00000000-0005-0000-0000-0000FD090000}"/>
    <cellStyle name="Migliaia 19 4 5" xfId="5843" xr:uid="{00000000-0005-0000-0000-0000FE090000}"/>
    <cellStyle name="Migliaia 19 4 6" xfId="6788" xr:uid="{00000000-0005-0000-0000-0000FF090000}"/>
    <cellStyle name="Migliaia 19 4 7" xfId="4866" xr:uid="{00000000-0005-0000-0000-0000000A0000}"/>
    <cellStyle name="Migliaia 19 5" xfId="1025" xr:uid="{00000000-0005-0000-0000-0000010A0000}"/>
    <cellStyle name="Migliaia 19 5 2" xfId="3709" xr:uid="{00000000-0005-0000-0000-0000020A0000}"/>
    <cellStyle name="Migliaia 19 5 3" xfId="5845" xr:uid="{00000000-0005-0000-0000-0000030A0000}"/>
    <cellStyle name="Migliaia 19 5 4" xfId="6790" xr:uid="{00000000-0005-0000-0000-0000040A0000}"/>
    <cellStyle name="Migliaia 19 5 5" xfId="4868" xr:uid="{00000000-0005-0000-0000-0000050A0000}"/>
    <cellStyle name="Migliaia 19 6" xfId="3710" xr:uid="{00000000-0005-0000-0000-0000060A0000}"/>
    <cellStyle name="Migliaia 19 7" xfId="5837" xr:uid="{00000000-0005-0000-0000-0000070A0000}"/>
    <cellStyle name="Migliaia 19 8" xfId="6782" xr:uid="{00000000-0005-0000-0000-0000080A0000}"/>
    <cellStyle name="Migliaia 19 9" xfId="4860" xr:uid="{00000000-0005-0000-0000-0000090A0000}"/>
    <cellStyle name="Migliaia 2" xfId="153" xr:uid="{00000000-0005-0000-0000-00000A0A0000}"/>
    <cellStyle name="Migliaia 2 10" xfId="4869" xr:uid="{00000000-0005-0000-0000-00000B0A0000}"/>
    <cellStyle name="Migliaia 2 2" xfId="154" xr:uid="{00000000-0005-0000-0000-00000C0A0000}"/>
    <cellStyle name="Migliaia 2 2 2" xfId="2074" xr:uid="{00000000-0005-0000-0000-00000D0A0000}"/>
    <cellStyle name="Migliaia 2 2 2 2" xfId="3711" xr:uid="{00000000-0005-0000-0000-00000E0A0000}"/>
    <cellStyle name="Migliaia 2 2 2 2 2" xfId="5849" xr:uid="{00000000-0005-0000-0000-00000F0A0000}"/>
    <cellStyle name="Migliaia 2 2 2 2 3" xfId="6794" xr:uid="{00000000-0005-0000-0000-0000100A0000}"/>
    <cellStyle name="Migliaia 2 2 2 2 4" xfId="4872" xr:uid="{00000000-0005-0000-0000-0000110A0000}"/>
    <cellStyle name="Migliaia 2 2 2 3" xfId="3712" xr:uid="{00000000-0005-0000-0000-0000120A0000}"/>
    <cellStyle name="Migliaia 2 2 2 4" xfId="5848" xr:uid="{00000000-0005-0000-0000-0000130A0000}"/>
    <cellStyle name="Migliaia 2 2 2 5" xfId="6793" xr:uid="{00000000-0005-0000-0000-0000140A0000}"/>
    <cellStyle name="Migliaia 2 2 2 6" xfId="4871" xr:uid="{00000000-0005-0000-0000-0000150A0000}"/>
    <cellStyle name="Migliaia 2 2 3" xfId="3713" xr:uid="{00000000-0005-0000-0000-0000160A0000}"/>
    <cellStyle name="Migliaia 2 2 3 2" xfId="5850" xr:uid="{00000000-0005-0000-0000-0000170A0000}"/>
    <cellStyle name="Migliaia 2 2 3 3" xfId="6795" xr:uid="{00000000-0005-0000-0000-0000180A0000}"/>
    <cellStyle name="Migliaia 2 2 3 4" xfId="4873" xr:uid="{00000000-0005-0000-0000-0000190A0000}"/>
    <cellStyle name="Migliaia 2 2 4" xfId="3714" xr:uid="{00000000-0005-0000-0000-00001A0A0000}"/>
    <cellStyle name="Migliaia 2 2 5" xfId="5847" xr:uid="{00000000-0005-0000-0000-00001B0A0000}"/>
    <cellStyle name="Migliaia 2 2 6" xfId="6792" xr:uid="{00000000-0005-0000-0000-00001C0A0000}"/>
    <cellStyle name="Migliaia 2 2 7" xfId="4870" xr:uid="{00000000-0005-0000-0000-00001D0A0000}"/>
    <cellStyle name="Migliaia 2 3" xfId="155" xr:uid="{00000000-0005-0000-0000-00001E0A0000}"/>
    <cellStyle name="Migliaia 2 3 2" xfId="2075" xr:uid="{00000000-0005-0000-0000-00001F0A0000}"/>
    <cellStyle name="Migliaia 2 3 2 2" xfId="3715" xr:uid="{00000000-0005-0000-0000-0000200A0000}"/>
    <cellStyle name="Migliaia 2 3 2 2 2" xfId="5853" xr:uid="{00000000-0005-0000-0000-0000210A0000}"/>
    <cellStyle name="Migliaia 2 3 2 2 3" xfId="6798" xr:uid="{00000000-0005-0000-0000-0000220A0000}"/>
    <cellStyle name="Migliaia 2 3 2 2 4" xfId="4876" xr:uid="{00000000-0005-0000-0000-0000230A0000}"/>
    <cellStyle name="Migliaia 2 3 2 3" xfId="3716" xr:uid="{00000000-0005-0000-0000-0000240A0000}"/>
    <cellStyle name="Migliaia 2 3 2 4" xfId="5852" xr:uid="{00000000-0005-0000-0000-0000250A0000}"/>
    <cellStyle name="Migliaia 2 3 2 5" xfId="6797" xr:uid="{00000000-0005-0000-0000-0000260A0000}"/>
    <cellStyle name="Migliaia 2 3 2 6" xfId="4875" xr:uid="{00000000-0005-0000-0000-0000270A0000}"/>
    <cellStyle name="Migliaia 2 3 3" xfId="3717" xr:uid="{00000000-0005-0000-0000-0000280A0000}"/>
    <cellStyle name="Migliaia 2 3 3 2" xfId="5854" xr:uid="{00000000-0005-0000-0000-0000290A0000}"/>
    <cellStyle name="Migliaia 2 3 3 3" xfId="6799" xr:uid="{00000000-0005-0000-0000-00002A0A0000}"/>
    <cellStyle name="Migliaia 2 3 3 4" xfId="4877" xr:uid="{00000000-0005-0000-0000-00002B0A0000}"/>
    <cellStyle name="Migliaia 2 3 4" xfId="3718" xr:uid="{00000000-0005-0000-0000-00002C0A0000}"/>
    <cellStyle name="Migliaia 2 3 5" xfId="5851" xr:uid="{00000000-0005-0000-0000-00002D0A0000}"/>
    <cellStyle name="Migliaia 2 3 6" xfId="6796" xr:uid="{00000000-0005-0000-0000-00002E0A0000}"/>
    <cellStyle name="Migliaia 2 3 7" xfId="4874" xr:uid="{00000000-0005-0000-0000-00002F0A0000}"/>
    <cellStyle name="Migliaia 2 4" xfId="1026" xr:uid="{00000000-0005-0000-0000-0000300A0000}"/>
    <cellStyle name="Migliaia 2 4 2" xfId="1027" xr:uid="{00000000-0005-0000-0000-0000310A0000}"/>
    <cellStyle name="Migliaia 2 4 2 2" xfId="3719" xr:uid="{00000000-0005-0000-0000-0000320A0000}"/>
    <cellStyle name="Migliaia 2 4 2 2 2" xfId="5857" xr:uid="{00000000-0005-0000-0000-0000330A0000}"/>
    <cellStyle name="Migliaia 2 4 2 2 3" xfId="6802" xr:uid="{00000000-0005-0000-0000-0000340A0000}"/>
    <cellStyle name="Migliaia 2 4 2 2 4" xfId="4880" xr:uid="{00000000-0005-0000-0000-0000350A0000}"/>
    <cellStyle name="Migliaia 2 4 2 3" xfId="3720" xr:uid="{00000000-0005-0000-0000-0000360A0000}"/>
    <cellStyle name="Migliaia 2 4 2 4" xfId="5856" xr:uid="{00000000-0005-0000-0000-0000370A0000}"/>
    <cellStyle name="Migliaia 2 4 2 5" xfId="6801" xr:uid="{00000000-0005-0000-0000-0000380A0000}"/>
    <cellStyle name="Migliaia 2 4 2 6" xfId="4879" xr:uid="{00000000-0005-0000-0000-0000390A0000}"/>
    <cellStyle name="Migliaia 2 4 3" xfId="1028" xr:uid="{00000000-0005-0000-0000-00003A0A0000}"/>
    <cellStyle name="Migliaia 2 4 3 2" xfId="2369" xr:uid="{00000000-0005-0000-0000-00003B0A0000}"/>
    <cellStyle name="Migliaia 2 4 4" xfId="2368" xr:uid="{00000000-0005-0000-0000-00003C0A0000}"/>
    <cellStyle name="Migliaia 2 4 5" xfId="3721" xr:uid="{00000000-0005-0000-0000-00003D0A0000}"/>
    <cellStyle name="Migliaia 2 4 6" xfId="5855" xr:uid="{00000000-0005-0000-0000-00003E0A0000}"/>
    <cellStyle name="Migliaia 2 4 7" xfId="6800" xr:uid="{00000000-0005-0000-0000-00003F0A0000}"/>
    <cellStyle name="Migliaia 2 4 8" xfId="4878" xr:uid="{00000000-0005-0000-0000-0000400A0000}"/>
    <cellStyle name="Migliaia 2 5" xfId="1029" xr:uid="{00000000-0005-0000-0000-0000410A0000}"/>
    <cellStyle name="Migliaia 2 5 2" xfId="1030" xr:uid="{00000000-0005-0000-0000-0000420A0000}"/>
    <cellStyle name="Migliaia 2 5 2 2" xfId="2371" xr:uid="{00000000-0005-0000-0000-0000430A0000}"/>
    <cellStyle name="Migliaia 2 5 2 3" xfId="3722" xr:uid="{00000000-0005-0000-0000-0000440A0000}"/>
    <cellStyle name="Migliaia 2 5 2 4" xfId="5859" xr:uid="{00000000-0005-0000-0000-0000450A0000}"/>
    <cellStyle name="Migliaia 2 5 2 5" xfId="6804" xr:uid="{00000000-0005-0000-0000-0000460A0000}"/>
    <cellStyle name="Migliaia 2 5 2 6" xfId="4882" xr:uid="{00000000-0005-0000-0000-0000470A0000}"/>
    <cellStyle name="Migliaia 2 5 3" xfId="2370" xr:uid="{00000000-0005-0000-0000-0000480A0000}"/>
    <cellStyle name="Migliaia 2 5 4" xfId="3723" xr:uid="{00000000-0005-0000-0000-0000490A0000}"/>
    <cellStyle name="Migliaia 2 5 5" xfId="5858" xr:uid="{00000000-0005-0000-0000-00004A0A0000}"/>
    <cellStyle name="Migliaia 2 5 6" xfId="6803" xr:uid="{00000000-0005-0000-0000-00004B0A0000}"/>
    <cellStyle name="Migliaia 2 5 7" xfId="4881" xr:uid="{00000000-0005-0000-0000-00004C0A0000}"/>
    <cellStyle name="Migliaia 2 6" xfId="1031" xr:uid="{00000000-0005-0000-0000-00004D0A0000}"/>
    <cellStyle name="Migliaia 2 6 2" xfId="3724" xr:uid="{00000000-0005-0000-0000-00004E0A0000}"/>
    <cellStyle name="Migliaia 2 6 3" xfId="5860" xr:uid="{00000000-0005-0000-0000-00004F0A0000}"/>
    <cellStyle name="Migliaia 2 6 4" xfId="6805" xr:uid="{00000000-0005-0000-0000-0000500A0000}"/>
    <cellStyle name="Migliaia 2 6 5" xfId="4883" xr:uid="{00000000-0005-0000-0000-0000510A0000}"/>
    <cellStyle name="Migliaia 2 7" xfId="3725" xr:uid="{00000000-0005-0000-0000-0000520A0000}"/>
    <cellStyle name="Migliaia 2 8" xfId="5846" xr:uid="{00000000-0005-0000-0000-0000530A0000}"/>
    <cellStyle name="Migliaia 2 9" xfId="6791" xr:uid="{00000000-0005-0000-0000-0000540A0000}"/>
    <cellStyle name="Migliaia 2_Domestico_reg&amp;naz" xfId="156" xr:uid="{00000000-0005-0000-0000-0000550A0000}"/>
    <cellStyle name="Migliaia 20" xfId="157" xr:uid="{00000000-0005-0000-0000-0000560A0000}"/>
    <cellStyle name="Migliaia 20 2" xfId="499" xr:uid="{00000000-0005-0000-0000-0000570A0000}"/>
    <cellStyle name="Migliaia 20 2 2" xfId="2372" xr:uid="{00000000-0005-0000-0000-0000580A0000}"/>
    <cellStyle name="Migliaia 20 2 2 2" xfId="3726" xr:uid="{00000000-0005-0000-0000-0000590A0000}"/>
    <cellStyle name="Migliaia 20 2 2 3" xfId="5863" xr:uid="{00000000-0005-0000-0000-00005A0A0000}"/>
    <cellStyle name="Migliaia 20 2 2 4" xfId="6808" xr:uid="{00000000-0005-0000-0000-00005B0A0000}"/>
    <cellStyle name="Migliaia 20 2 2 5" xfId="4886" xr:uid="{00000000-0005-0000-0000-00005C0A0000}"/>
    <cellStyle name="Migliaia 20 2 3" xfId="3727" xr:uid="{00000000-0005-0000-0000-00005D0A0000}"/>
    <cellStyle name="Migliaia 20 2 4" xfId="5862" xr:uid="{00000000-0005-0000-0000-00005E0A0000}"/>
    <cellStyle name="Migliaia 20 2 5" xfId="6807" xr:uid="{00000000-0005-0000-0000-00005F0A0000}"/>
    <cellStyle name="Migliaia 20 2 6" xfId="4885" xr:uid="{00000000-0005-0000-0000-0000600A0000}"/>
    <cellStyle name="Migliaia 20 3" xfId="1032" xr:uid="{00000000-0005-0000-0000-0000610A0000}"/>
    <cellStyle name="Migliaia 20 3 2" xfId="1033" xr:uid="{00000000-0005-0000-0000-0000620A0000}"/>
    <cellStyle name="Migliaia 20 3 2 2" xfId="3728" xr:uid="{00000000-0005-0000-0000-0000630A0000}"/>
    <cellStyle name="Migliaia 20 3 2 2 2" xfId="5866" xr:uid="{00000000-0005-0000-0000-0000640A0000}"/>
    <cellStyle name="Migliaia 20 3 2 2 3" xfId="6811" xr:uid="{00000000-0005-0000-0000-0000650A0000}"/>
    <cellStyle name="Migliaia 20 3 2 2 4" xfId="4889" xr:uid="{00000000-0005-0000-0000-0000660A0000}"/>
    <cellStyle name="Migliaia 20 3 2 3" xfId="3729" xr:uid="{00000000-0005-0000-0000-0000670A0000}"/>
    <cellStyle name="Migliaia 20 3 2 4" xfId="5865" xr:uid="{00000000-0005-0000-0000-0000680A0000}"/>
    <cellStyle name="Migliaia 20 3 2 5" xfId="6810" xr:uid="{00000000-0005-0000-0000-0000690A0000}"/>
    <cellStyle name="Migliaia 20 3 2 6" xfId="4888" xr:uid="{00000000-0005-0000-0000-00006A0A0000}"/>
    <cellStyle name="Migliaia 20 3 3" xfId="1034" xr:uid="{00000000-0005-0000-0000-00006B0A0000}"/>
    <cellStyle name="Migliaia 20 3 3 2" xfId="2374" xr:uid="{00000000-0005-0000-0000-00006C0A0000}"/>
    <cellStyle name="Migliaia 20 3 4" xfId="2373" xr:uid="{00000000-0005-0000-0000-00006D0A0000}"/>
    <cellStyle name="Migliaia 20 3 5" xfId="3730" xr:uid="{00000000-0005-0000-0000-00006E0A0000}"/>
    <cellStyle name="Migliaia 20 3 6" xfId="5864" xr:uid="{00000000-0005-0000-0000-00006F0A0000}"/>
    <cellStyle name="Migliaia 20 3 7" xfId="6809" xr:uid="{00000000-0005-0000-0000-0000700A0000}"/>
    <cellStyle name="Migliaia 20 3 8" xfId="4887" xr:uid="{00000000-0005-0000-0000-0000710A0000}"/>
    <cellStyle name="Migliaia 20 4" xfId="1035" xr:uid="{00000000-0005-0000-0000-0000720A0000}"/>
    <cellStyle name="Migliaia 20 4 2" xfId="1036" xr:uid="{00000000-0005-0000-0000-0000730A0000}"/>
    <cellStyle name="Migliaia 20 4 2 2" xfId="2376" xr:uid="{00000000-0005-0000-0000-0000740A0000}"/>
    <cellStyle name="Migliaia 20 4 2 3" xfId="3731" xr:uid="{00000000-0005-0000-0000-0000750A0000}"/>
    <cellStyle name="Migliaia 20 4 2 4" xfId="5868" xr:uid="{00000000-0005-0000-0000-0000760A0000}"/>
    <cellStyle name="Migliaia 20 4 2 5" xfId="6813" xr:uid="{00000000-0005-0000-0000-0000770A0000}"/>
    <cellStyle name="Migliaia 20 4 2 6" xfId="4891" xr:uid="{00000000-0005-0000-0000-0000780A0000}"/>
    <cellStyle name="Migliaia 20 4 3" xfId="2375" xr:uid="{00000000-0005-0000-0000-0000790A0000}"/>
    <cellStyle name="Migliaia 20 4 4" xfId="3732" xr:uid="{00000000-0005-0000-0000-00007A0A0000}"/>
    <cellStyle name="Migliaia 20 4 5" xfId="5867" xr:uid="{00000000-0005-0000-0000-00007B0A0000}"/>
    <cellStyle name="Migliaia 20 4 6" xfId="6812" xr:uid="{00000000-0005-0000-0000-00007C0A0000}"/>
    <cellStyle name="Migliaia 20 4 7" xfId="4890" xr:uid="{00000000-0005-0000-0000-00007D0A0000}"/>
    <cellStyle name="Migliaia 20 5" xfId="1037" xr:uid="{00000000-0005-0000-0000-00007E0A0000}"/>
    <cellStyle name="Migliaia 20 5 2" xfId="3733" xr:uid="{00000000-0005-0000-0000-00007F0A0000}"/>
    <cellStyle name="Migliaia 20 5 3" xfId="5869" xr:uid="{00000000-0005-0000-0000-0000800A0000}"/>
    <cellStyle name="Migliaia 20 5 4" xfId="6814" xr:uid="{00000000-0005-0000-0000-0000810A0000}"/>
    <cellStyle name="Migliaia 20 5 5" xfId="4892" xr:uid="{00000000-0005-0000-0000-0000820A0000}"/>
    <cellStyle name="Migliaia 20 6" xfId="3734" xr:uid="{00000000-0005-0000-0000-0000830A0000}"/>
    <cellStyle name="Migliaia 20 7" xfId="5861" xr:uid="{00000000-0005-0000-0000-0000840A0000}"/>
    <cellStyle name="Migliaia 20 8" xfId="6806" xr:uid="{00000000-0005-0000-0000-0000850A0000}"/>
    <cellStyle name="Migliaia 20 9" xfId="4884" xr:uid="{00000000-0005-0000-0000-0000860A0000}"/>
    <cellStyle name="Migliaia 21" xfId="158" xr:uid="{00000000-0005-0000-0000-0000870A0000}"/>
    <cellStyle name="Migliaia 21 2" xfId="500" xr:uid="{00000000-0005-0000-0000-0000880A0000}"/>
    <cellStyle name="Migliaia 21 2 2" xfId="2377" xr:uid="{00000000-0005-0000-0000-0000890A0000}"/>
    <cellStyle name="Migliaia 21 2 2 2" xfId="3735" xr:uid="{00000000-0005-0000-0000-00008A0A0000}"/>
    <cellStyle name="Migliaia 21 2 2 3" xfId="5872" xr:uid="{00000000-0005-0000-0000-00008B0A0000}"/>
    <cellStyle name="Migliaia 21 2 2 4" xfId="6817" xr:uid="{00000000-0005-0000-0000-00008C0A0000}"/>
    <cellStyle name="Migliaia 21 2 2 5" xfId="4895" xr:uid="{00000000-0005-0000-0000-00008D0A0000}"/>
    <cellStyle name="Migliaia 21 2 3" xfId="3736" xr:uid="{00000000-0005-0000-0000-00008E0A0000}"/>
    <cellStyle name="Migliaia 21 2 4" xfId="5871" xr:uid="{00000000-0005-0000-0000-00008F0A0000}"/>
    <cellStyle name="Migliaia 21 2 5" xfId="6816" xr:uid="{00000000-0005-0000-0000-0000900A0000}"/>
    <cellStyle name="Migliaia 21 2 6" xfId="4894" xr:uid="{00000000-0005-0000-0000-0000910A0000}"/>
    <cellStyle name="Migliaia 21 3" xfId="1038" xr:uid="{00000000-0005-0000-0000-0000920A0000}"/>
    <cellStyle name="Migliaia 21 3 2" xfId="1039" xr:uid="{00000000-0005-0000-0000-0000930A0000}"/>
    <cellStyle name="Migliaia 21 3 2 2" xfId="3737" xr:uid="{00000000-0005-0000-0000-0000940A0000}"/>
    <cellStyle name="Migliaia 21 3 2 2 2" xfId="5875" xr:uid="{00000000-0005-0000-0000-0000950A0000}"/>
    <cellStyle name="Migliaia 21 3 2 2 3" xfId="6820" xr:uid="{00000000-0005-0000-0000-0000960A0000}"/>
    <cellStyle name="Migliaia 21 3 2 2 4" xfId="4898" xr:uid="{00000000-0005-0000-0000-0000970A0000}"/>
    <cellStyle name="Migliaia 21 3 2 3" xfId="3738" xr:uid="{00000000-0005-0000-0000-0000980A0000}"/>
    <cellStyle name="Migliaia 21 3 2 4" xfId="5874" xr:uid="{00000000-0005-0000-0000-0000990A0000}"/>
    <cellStyle name="Migliaia 21 3 2 5" xfId="6819" xr:uid="{00000000-0005-0000-0000-00009A0A0000}"/>
    <cellStyle name="Migliaia 21 3 2 6" xfId="4897" xr:uid="{00000000-0005-0000-0000-00009B0A0000}"/>
    <cellStyle name="Migliaia 21 3 3" xfId="1040" xr:uid="{00000000-0005-0000-0000-00009C0A0000}"/>
    <cellStyle name="Migliaia 21 3 3 2" xfId="2379" xr:uid="{00000000-0005-0000-0000-00009D0A0000}"/>
    <cellStyle name="Migliaia 21 3 4" xfId="2378" xr:uid="{00000000-0005-0000-0000-00009E0A0000}"/>
    <cellStyle name="Migliaia 21 3 5" xfId="3739" xr:uid="{00000000-0005-0000-0000-00009F0A0000}"/>
    <cellStyle name="Migliaia 21 3 6" xfId="5873" xr:uid="{00000000-0005-0000-0000-0000A00A0000}"/>
    <cellStyle name="Migliaia 21 3 7" xfId="6818" xr:uid="{00000000-0005-0000-0000-0000A10A0000}"/>
    <cellStyle name="Migliaia 21 3 8" xfId="4896" xr:uid="{00000000-0005-0000-0000-0000A20A0000}"/>
    <cellStyle name="Migliaia 21 4" xfId="1041" xr:uid="{00000000-0005-0000-0000-0000A30A0000}"/>
    <cellStyle name="Migliaia 21 4 2" xfId="1042" xr:uid="{00000000-0005-0000-0000-0000A40A0000}"/>
    <cellStyle name="Migliaia 21 4 2 2" xfId="2381" xr:uid="{00000000-0005-0000-0000-0000A50A0000}"/>
    <cellStyle name="Migliaia 21 4 2 3" xfId="3740" xr:uid="{00000000-0005-0000-0000-0000A60A0000}"/>
    <cellStyle name="Migliaia 21 4 2 4" xfId="5877" xr:uid="{00000000-0005-0000-0000-0000A70A0000}"/>
    <cellStyle name="Migliaia 21 4 2 5" xfId="6822" xr:uid="{00000000-0005-0000-0000-0000A80A0000}"/>
    <cellStyle name="Migliaia 21 4 2 6" xfId="4900" xr:uid="{00000000-0005-0000-0000-0000A90A0000}"/>
    <cellStyle name="Migliaia 21 4 3" xfId="2380" xr:uid="{00000000-0005-0000-0000-0000AA0A0000}"/>
    <cellStyle name="Migliaia 21 4 4" xfId="3741" xr:uid="{00000000-0005-0000-0000-0000AB0A0000}"/>
    <cellStyle name="Migliaia 21 4 5" xfId="5876" xr:uid="{00000000-0005-0000-0000-0000AC0A0000}"/>
    <cellStyle name="Migliaia 21 4 6" xfId="6821" xr:uid="{00000000-0005-0000-0000-0000AD0A0000}"/>
    <cellStyle name="Migliaia 21 4 7" xfId="4899" xr:uid="{00000000-0005-0000-0000-0000AE0A0000}"/>
    <cellStyle name="Migliaia 21 5" xfId="1043" xr:uid="{00000000-0005-0000-0000-0000AF0A0000}"/>
    <cellStyle name="Migliaia 21 5 2" xfId="3742" xr:uid="{00000000-0005-0000-0000-0000B00A0000}"/>
    <cellStyle name="Migliaia 21 5 3" xfId="5878" xr:uid="{00000000-0005-0000-0000-0000B10A0000}"/>
    <cellStyle name="Migliaia 21 5 4" xfId="6823" xr:uid="{00000000-0005-0000-0000-0000B20A0000}"/>
    <cellStyle name="Migliaia 21 5 5" xfId="4901" xr:uid="{00000000-0005-0000-0000-0000B30A0000}"/>
    <cellStyle name="Migliaia 21 6" xfId="3743" xr:uid="{00000000-0005-0000-0000-0000B40A0000}"/>
    <cellStyle name="Migliaia 21 7" xfId="5870" xr:uid="{00000000-0005-0000-0000-0000B50A0000}"/>
    <cellStyle name="Migliaia 21 8" xfId="6815" xr:uid="{00000000-0005-0000-0000-0000B60A0000}"/>
    <cellStyle name="Migliaia 21 9" xfId="4893" xr:uid="{00000000-0005-0000-0000-0000B70A0000}"/>
    <cellStyle name="Migliaia 22" xfId="159" xr:uid="{00000000-0005-0000-0000-0000B80A0000}"/>
    <cellStyle name="Migliaia 22 2" xfId="501" xr:uid="{00000000-0005-0000-0000-0000B90A0000}"/>
    <cellStyle name="Migliaia 22 2 2" xfId="2382" xr:uid="{00000000-0005-0000-0000-0000BA0A0000}"/>
    <cellStyle name="Migliaia 22 2 2 2" xfId="3744" xr:uid="{00000000-0005-0000-0000-0000BB0A0000}"/>
    <cellStyle name="Migliaia 22 2 2 3" xfId="5881" xr:uid="{00000000-0005-0000-0000-0000BC0A0000}"/>
    <cellStyle name="Migliaia 22 2 2 4" xfId="6826" xr:uid="{00000000-0005-0000-0000-0000BD0A0000}"/>
    <cellStyle name="Migliaia 22 2 2 5" xfId="4904" xr:uid="{00000000-0005-0000-0000-0000BE0A0000}"/>
    <cellStyle name="Migliaia 22 2 3" xfId="3745" xr:uid="{00000000-0005-0000-0000-0000BF0A0000}"/>
    <cellStyle name="Migliaia 22 2 4" xfId="5880" xr:uid="{00000000-0005-0000-0000-0000C00A0000}"/>
    <cellStyle name="Migliaia 22 2 5" xfId="6825" xr:uid="{00000000-0005-0000-0000-0000C10A0000}"/>
    <cellStyle name="Migliaia 22 2 6" xfId="4903" xr:uid="{00000000-0005-0000-0000-0000C20A0000}"/>
    <cellStyle name="Migliaia 22 3" xfId="1044" xr:uid="{00000000-0005-0000-0000-0000C30A0000}"/>
    <cellStyle name="Migliaia 22 3 2" xfId="1045" xr:uid="{00000000-0005-0000-0000-0000C40A0000}"/>
    <cellStyle name="Migliaia 22 3 2 2" xfId="3746" xr:uid="{00000000-0005-0000-0000-0000C50A0000}"/>
    <cellStyle name="Migliaia 22 3 2 2 2" xfId="5884" xr:uid="{00000000-0005-0000-0000-0000C60A0000}"/>
    <cellStyle name="Migliaia 22 3 2 2 3" xfId="6829" xr:uid="{00000000-0005-0000-0000-0000C70A0000}"/>
    <cellStyle name="Migliaia 22 3 2 2 4" xfId="4907" xr:uid="{00000000-0005-0000-0000-0000C80A0000}"/>
    <cellStyle name="Migliaia 22 3 2 3" xfId="3747" xr:uid="{00000000-0005-0000-0000-0000C90A0000}"/>
    <cellStyle name="Migliaia 22 3 2 4" xfId="5883" xr:uid="{00000000-0005-0000-0000-0000CA0A0000}"/>
    <cellStyle name="Migliaia 22 3 2 5" xfId="6828" xr:uid="{00000000-0005-0000-0000-0000CB0A0000}"/>
    <cellStyle name="Migliaia 22 3 2 6" xfId="4906" xr:uid="{00000000-0005-0000-0000-0000CC0A0000}"/>
    <cellStyle name="Migliaia 22 3 3" xfId="1046" xr:uid="{00000000-0005-0000-0000-0000CD0A0000}"/>
    <cellStyle name="Migliaia 22 3 3 2" xfId="2384" xr:uid="{00000000-0005-0000-0000-0000CE0A0000}"/>
    <cellStyle name="Migliaia 22 3 4" xfId="2383" xr:uid="{00000000-0005-0000-0000-0000CF0A0000}"/>
    <cellStyle name="Migliaia 22 3 5" xfId="3748" xr:uid="{00000000-0005-0000-0000-0000D00A0000}"/>
    <cellStyle name="Migliaia 22 3 6" xfId="5882" xr:uid="{00000000-0005-0000-0000-0000D10A0000}"/>
    <cellStyle name="Migliaia 22 3 7" xfId="6827" xr:uid="{00000000-0005-0000-0000-0000D20A0000}"/>
    <cellStyle name="Migliaia 22 3 8" xfId="4905" xr:uid="{00000000-0005-0000-0000-0000D30A0000}"/>
    <cellStyle name="Migliaia 22 4" xfId="1047" xr:uid="{00000000-0005-0000-0000-0000D40A0000}"/>
    <cellStyle name="Migliaia 22 4 2" xfId="1048" xr:uid="{00000000-0005-0000-0000-0000D50A0000}"/>
    <cellStyle name="Migliaia 22 4 2 2" xfId="2386" xr:uid="{00000000-0005-0000-0000-0000D60A0000}"/>
    <cellStyle name="Migliaia 22 4 2 3" xfId="3749" xr:uid="{00000000-0005-0000-0000-0000D70A0000}"/>
    <cellStyle name="Migliaia 22 4 2 4" xfId="5886" xr:uid="{00000000-0005-0000-0000-0000D80A0000}"/>
    <cellStyle name="Migliaia 22 4 2 5" xfId="6831" xr:uid="{00000000-0005-0000-0000-0000D90A0000}"/>
    <cellStyle name="Migliaia 22 4 2 6" xfId="4909" xr:uid="{00000000-0005-0000-0000-0000DA0A0000}"/>
    <cellStyle name="Migliaia 22 4 3" xfId="2385" xr:uid="{00000000-0005-0000-0000-0000DB0A0000}"/>
    <cellStyle name="Migliaia 22 4 4" xfId="3750" xr:uid="{00000000-0005-0000-0000-0000DC0A0000}"/>
    <cellStyle name="Migliaia 22 4 5" xfId="5885" xr:uid="{00000000-0005-0000-0000-0000DD0A0000}"/>
    <cellStyle name="Migliaia 22 4 6" xfId="6830" xr:uid="{00000000-0005-0000-0000-0000DE0A0000}"/>
    <cellStyle name="Migliaia 22 4 7" xfId="4908" xr:uid="{00000000-0005-0000-0000-0000DF0A0000}"/>
    <cellStyle name="Migliaia 22 5" xfId="1049" xr:uid="{00000000-0005-0000-0000-0000E00A0000}"/>
    <cellStyle name="Migliaia 22 5 2" xfId="3751" xr:uid="{00000000-0005-0000-0000-0000E10A0000}"/>
    <cellStyle name="Migliaia 22 5 3" xfId="5887" xr:uid="{00000000-0005-0000-0000-0000E20A0000}"/>
    <cellStyle name="Migliaia 22 5 4" xfId="6832" xr:uid="{00000000-0005-0000-0000-0000E30A0000}"/>
    <cellStyle name="Migliaia 22 5 5" xfId="4910" xr:uid="{00000000-0005-0000-0000-0000E40A0000}"/>
    <cellStyle name="Migliaia 22 6" xfId="3752" xr:uid="{00000000-0005-0000-0000-0000E50A0000}"/>
    <cellStyle name="Migliaia 22 7" xfId="5879" xr:uid="{00000000-0005-0000-0000-0000E60A0000}"/>
    <cellStyle name="Migliaia 22 8" xfId="6824" xr:uid="{00000000-0005-0000-0000-0000E70A0000}"/>
    <cellStyle name="Migliaia 22 9" xfId="4902" xr:uid="{00000000-0005-0000-0000-0000E80A0000}"/>
    <cellStyle name="Migliaia 23" xfId="160" xr:uid="{00000000-0005-0000-0000-0000E90A0000}"/>
    <cellStyle name="Migliaia 23 2" xfId="502" xr:uid="{00000000-0005-0000-0000-0000EA0A0000}"/>
    <cellStyle name="Migliaia 23 2 2" xfId="2387" xr:uid="{00000000-0005-0000-0000-0000EB0A0000}"/>
    <cellStyle name="Migliaia 23 2 2 2" xfId="3753" xr:uid="{00000000-0005-0000-0000-0000EC0A0000}"/>
    <cellStyle name="Migliaia 23 2 2 3" xfId="5890" xr:uid="{00000000-0005-0000-0000-0000ED0A0000}"/>
    <cellStyle name="Migliaia 23 2 2 4" xfId="6835" xr:uid="{00000000-0005-0000-0000-0000EE0A0000}"/>
    <cellStyle name="Migliaia 23 2 2 5" xfId="4913" xr:uid="{00000000-0005-0000-0000-0000EF0A0000}"/>
    <cellStyle name="Migliaia 23 2 3" xfId="3754" xr:uid="{00000000-0005-0000-0000-0000F00A0000}"/>
    <cellStyle name="Migliaia 23 2 4" xfId="5889" xr:uid="{00000000-0005-0000-0000-0000F10A0000}"/>
    <cellStyle name="Migliaia 23 2 5" xfId="6834" xr:uid="{00000000-0005-0000-0000-0000F20A0000}"/>
    <cellStyle name="Migliaia 23 2 6" xfId="4912" xr:uid="{00000000-0005-0000-0000-0000F30A0000}"/>
    <cellStyle name="Migliaia 23 3" xfId="1050" xr:uid="{00000000-0005-0000-0000-0000F40A0000}"/>
    <cellStyle name="Migliaia 23 3 2" xfId="1051" xr:uid="{00000000-0005-0000-0000-0000F50A0000}"/>
    <cellStyle name="Migliaia 23 3 2 2" xfId="3755" xr:uid="{00000000-0005-0000-0000-0000F60A0000}"/>
    <cellStyle name="Migliaia 23 3 2 2 2" xfId="5893" xr:uid="{00000000-0005-0000-0000-0000F70A0000}"/>
    <cellStyle name="Migliaia 23 3 2 2 3" xfId="6838" xr:uid="{00000000-0005-0000-0000-0000F80A0000}"/>
    <cellStyle name="Migliaia 23 3 2 2 4" xfId="4916" xr:uid="{00000000-0005-0000-0000-0000F90A0000}"/>
    <cellStyle name="Migliaia 23 3 2 3" xfId="3756" xr:uid="{00000000-0005-0000-0000-0000FA0A0000}"/>
    <cellStyle name="Migliaia 23 3 2 4" xfId="5892" xr:uid="{00000000-0005-0000-0000-0000FB0A0000}"/>
    <cellStyle name="Migliaia 23 3 2 5" xfId="6837" xr:uid="{00000000-0005-0000-0000-0000FC0A0000}"/>
    <cellStyle name="Migliaia 23 3 2 6" xfId="4915" xr:uid="{00000000-0005-0000-0000-0000FD0A0000}"/>
    <cellStyle name="Migliaia 23 3 3" xfId="1052" xr:uid="{00000000-0005-0000-0000-0000FE0A0000}"/>
    <cellStyle name="Migliaia 23 3 3 2" xfId="2389" xr:uid="{00000000-0005-0000-0000-0000FF0A0000}"/>
    <cellStyle name="Migliaia 23 3 4" xfId="2388" xr:uid="{00000000-0005-0000-0000-0000000B0000}"/>
    <cellStyle name="Migliaia 23 3 5" xfId="3757" xr:uid="{00000000-0005-0000-0000-0000010B0000}"/>
    <cellStyle name="Migliaia 23 3 6" xfId="5891" xr:uid="{00000000-0005-0000-0000-0000020B0000}"/>
    <cellStyle name="Migliaia 23 3 7" xfId="6836" xr:uid="{00000000-0005-0000-0000-0000030B0000}"/>
    <cellStyle name="Migliaia 23 3 8" xfId="4914" xr:uid="{00000000-0005-0000-0000-0000040B0000}"/>
    <cellStyle name="Migliaia 23 4" xfId="1053" xr:uid="{00000000-0005-0000-0000-0000050B0000}"/>
    <cellStyle name="Migliaia 23 4 2" xfId="1054" xr:uid="{00000000-0005-0000-0000-0000060B0000}"/>
    <cellStyle name="Migliaia 23 4 2 2" xfId="2391" xr:uid="{00000000-0005-0000-0000-0000070B0000}"/>
    <cellStyle name="Migliaia 23 4 2 3" xfId="3758" xr:uid="{00000000-0005-0000-0000-0000080B0000}"/>
    <cellStyle name="Migliaia 23 4 2 4" xfId="5895" xr:uid="{00000000-0005-0000-0000-0000090B0000}"/>
    <cellStyle name="Migliaia 23 4 2 5" xfId="6840" xr:uid="{00000000-0005-0000-0000-00000A0B0000}"/>
    <cellStyle name="Migliaia 23 4 2 6" xfId="4918" xr:uid="{00000000-0005-0000-0000-00000B0B0000}"/>
    <cellStyle name="Migliaia 23 4 3" xfId="2390" xr:uid="{00000000-0005-0000-0000-00000C0B0000}"/>
    <cellStyle name="Migliaia 23 4 4" xfId="3759" xr:uid="{00000000-0005-0000-0000-00000D0B0000}"/>
    <cellStyle name="Migliaia 23 4 5" xfId="5894" xr:uid="{00000000-0005-0000-0000-00000E0B0000}"/>
    <cellStyle name="Migliaia 23 4 6" xfId="6839" xr:uid="{00000000-0005-0000-0000-00000F0B0000}"/>
    <cellStyle name="Migliaia 23 4 7" xfId="4917" xr:uid="{00000000-0005-0000-0000-0000100B0000}"/>
    <cellStyle name="Migliaia 23 5" xfId="1055" xr:uid="{00000000-0005-0000-0000-0000110B0000}"/>
    <cellStyle name="Migliaia 23 5 2" xfId="3760" xr:uid="{00000000-0005-0000-0000-0000120B0000}"/>
    <cellStyle name="Migliaia 23 5 3" xfId="5896" xr:uid="{00000000-0005-0000-0000-0000130B0000}"/>
    <cellStyle name="Migliaia 23 5 4" xfId="6841" xr:uid="{00000000-0005-0000-0000-0000140B0000}"/>
    <cellStyle name="Migliaia 23 5 5" xfId="4919" xr:uid="{00000000-0005-0000-0000-0000150B0000}"/>
    <cellStyle name="Migliaia 23 6" xfId="3761" xr:uid="{00000000-0005-0000-0000-0000160B0000}"/>
    <cellStyle name="Migliaia 23 7" xfId="5888" xr:uid="{00000000-0005-0000-0000-0000170B0000}"/>
    <cellStyle name="Migliaia 23 8" xfId="6833" xr:uid="{00000000-0005-0000-0000-0000180B0000}"/>
    <cellStyle name="Migliaia 23 9" xfId="4911" xr:uid="{00000000-0005-0000-0000-0000190B0000}"/>
    <cellStyle name="Migliaia 24" xfId="161" xr:uid="{00000000-0005-0000-0000-00001A0B0000}"/>
    <cellStyle name="Migliaia 24 2" xfId="503" xr:uid="{00000000-0005-0000-0000-00001B0B0000}"/>
    <cellStyle name="Migliaia 24 2 2" xfId="2392" xr:uid="{00000000-0005-0000-0000-00001C0B0000}"/>
    <cellStyle name="Migliaia 24 2 2 2" xfId="3762" xr:uid="{00000000-0005-0000-0000-00001D0B0000}"/>
    <cellStyle name="Migliaia 24 2 2 3" xfId="5899" xr:uid="{00000000-0005-0000-0000-00001E0B0000}"/>
    <cellStyle name="Migliaia 24 2 2 4" xfId="6844" xr:uid="{00000000-0005-0000-0000-00001F0B0000}"/>
    <cellStyle name="Migliaia 24 2 2 5" xfId="4922" xr:uid="{00000000-0005-0000-0000-0000200B0000}"/>
    <cellStyle name="Migliaia 24 2 3" xfId="3763" xr:uid="{00000000-0005-0000-0000-0000210B0000}"/>
    <cellStyle name="Migliaia 24 2 4" xfId="5898" xr:uid="{00000000-0005-0000-0000-0000220B0000}"/>
    <cellStyle name="Migliaia 24 2 5" xfId="6843" xr:uid="{00000000-0005-0000-0000-0000230B0000}"/>
    <cellStyle name="Migliaia 24 2 6" xfId="4921" xr:uid="{00000000-0005-0000-0000-0000240B0000}"/>
    <cellStyle name="Migliaia 24 3" xfId="1056" xr:uid="{00000000-0005-0000-0000-0000250B0000}"/>
    <cellStyle name="Migliaia 24 3 2" xfId="1057" xr:uid="{00000000-0005-0000-0000-0000260B0000}"/>
    <cellStyle name="Migliaia 24 3 2 2" xfId="3764" xr:uid="{00000000-0005-0000-0000-0000270B0000}"/>
    <cellStyle name="Migliaia 24 3 2 2 2" xfId="5902" xr:uid="{00000000-0005-0000-0000-0000280B0000}"/>
    <cellStyle name="Migliaia 24 3 2 2 3" xfId="6847" xr:uid="{00000000-0005-0000-0000-0000290B0000}"/>
    <cellStyle name="Migliaia 24 3 2 2 4" xfId="4925" xr:uid="{00000000-0005-0000-0000-00002A0B0000}"/>
    <cellStyle name="Migliaia 24 3 2 3" xfId="3765" xr:uid="{00000000-0005-0000-0000-00002B0B0000}"/>
    <cellStyle name="Migliaia 24 3 2 4" xfId="5901" xr:uid="{00000000-0005-0000-0000-00002C0B0000}"/>
    <cellStyle name="Migliaia 24 3 2 5" xfId="6846" xr:uid="{00000000-0005-0000-0000-00002D0B0000}"/>
    <cellStyle name="Migliaia 24 3 2 6" xfId="4924" xr:uid="{00000000-0005-0000-0000-00002E0B0000}"/>
    <cellStyle name="Migliaia 24 3 3" xfId="1058" xr:uid="{00000000-0005-0000-0000-00002F0B0000}"/>
    <cellStyle name="Migliaia 24 3 3 2" xfId="2394" xr:uid="{00000000-0005-0000-0000-0000300B0000}"/>
    <cellStyle name="Migliaia 24 3 4" xfId="2393" xr:uid="{00000000-0005-0000-0000-0000310B0000}"/>
    <cellStyle name="Migliaia 24 3 5" xfId="3766" xr:uid="{00000000-0005-0000-0000-0000320B0000}"/>
    <cellStyle name="Migliaia 24 3 6" xfId="5900" xr:uid="{00000000-0005-0000-0000-0000330B0000}"/>
    <cellStyle name="Migliaia 24 3 7" xfId="6845" xr:uid="{00000000-0005-0000-0000-0000340B0000}"/>
    <cellStyle name="Migliaia 24 3 8" xfId="4923" xr:uid="{00000000-0005-0000-0000-0000350B0000}"/>
    <cellStyle name="Migliaia 24 4" xfId="1059" xr:uid="{00000000-0005-0000-0000-0000360B0000}"/>
    <cellStyle name="Migliaia 24 4 2" xfId="1060" xr:uid="{00000000-0005-0000-0000-0000370B0000}"/>
    <cellStyle name="Migliaia 24 4 2 2" xfId="2396" xr:uid="{00000000-0005-0000-0000-0000380B0000}"/>
    <cellStyle name="Migliaia 24 4 2 3" xfId="3767" xr:uid="{00000000-0005-0000-0000-0000390B0000}"/>
    <cellStyle name="Migliaia 24 4 2 4" xfId="5904" xr:uid="{00000000-0005-0000-0000-00003A0B0000}"/>
    <cellStyle name="Migliaia 24 4 2 5" xfId="6849" xr:uid="{00000000-0005-0000-0000-00003B0B0000}"/>
    <cellStyle name="Migliaia 24 4 2 6" xfId="4927" xr:uid="{00000000-0005-0000-0000-00003C0B0000}"/>
    <cellStyle name="Migliaia 24 4 3" xfId="2395" xr:uid="{00000000-0005-0000-0000-00003D0B0000}"/>
    <cellStyle name="Migliaia 24 4 4" xfId="3768" xr:uid="{00000000-0005-0000-0000-00003E0B0000}"/>
    <cellStyle name="Migliaia 24 4 5" xfId="5903" xr:uid="{00000000-0005-0000-0000-00003F0B0000}"/>
    <cellStyle name="Migliaia 24 4 6" xfId="6848" xr:uid="{00000000-0005-0000-0000-0000400B0000}"/>
    <cellStyle name="Migliaia 24 4 7" xfId="4926" xr:uid="{00000000-0005-0000-0000-0000410B0000}"/>
    <cellStyle name="Migliaia 24 5" xfId="1061" xr:uid="{00000000-0005-0000-0000-0000420B0000}"/>
    <cellStyle name="Migliaia 24 5 2" xfId="3769" xr:uid="{00000000-0005-0000-0000-0000430B0000}"/>
    <cellStyle name="Migliaia 24 5 3" xfId="5905" xr:uid="{00000000-0005-0000-0000-0000440B0000}"/>
    <cellStyle name="Migliaia 24 5 4" xfId="6850" xr:uid="{00000000-0005-0000-0000-0000450B0000}"/>
    <cellStyle name="Migliaia 24 5 5" xfId="4928" xr:uid="{00000000-0005-0000-0000-0000460B0000}"/>
    <cellStyle name="Migliaia 24 6" xfId="3770" xr:uid="{00000000-0005-0000-0000-0000470B0000}"/>
    <cellStyle name="Migliaia 24 7" xfId="5897" xr:uid="{00000000-0005-0000-0000-0000480B0000}"/>
    <cellStyle name="Migliaia 24 8" xfId="6842" xr:uid="{00000000-0005-0000-0000-0000490B0000}"/>
    <cellStyle name="Migliaia 24 9" xfId="4920" xr:uid="{00000000-0005-0000-0000-00004A0B0000}"/>
    <cellStyle name="Migliaia 25" xfId="162" xr:uid="{00000000-0005-0000-0000-00004B0B0000}"/>
    <cellStyle name="Migliaia 25 2" xfId="504" xr:uid="{00000000-0005-0000-0000-00004C0B0000}"/>
    <cellStyle name="Migliaia 25 2 2" xfId="2397" xr:uid="{00000000-0005-0000-0000-00004D0B0000}"/>
    <cellStyle name="Migliaia 25 2 2 2" xfId="3771" xr:uid="{00000000-0005-0000-0000-00004E0B0000}"/>
    <cellStyle name="Migliaia 25 2 2 3" xfId="5908" xr:uid="{00000000-0005-0000-0000-00004F0B0000}"/>
    <cellStyle name="Migliaia 25 2 2 4" xfId="6853" xr:uid="{00000000-0005-0000-0000-0000500B0000}"/>
    <cellStyle name="Migliaia 25 2 2 5" xfId="4931" xr:uid="{00000000-0005-0000-0000-0000510B0000}"/>
    <cellStyle name="Migliaia 25 2 3" xfId="3772" xr:uid="{00000000-0005-0000-0000-0000520B0000}"/>
    <cellStyle name="Migliaia 25 2 4" xfId="5907" xr:uid="{00000000-0005-0000-0000-0000530B0000}"/>
    <cellStyle name="Migliaia 25 2 5" xfId="6852" xr:uid="{00000000-0005-0000-0000-0000540B0000}"/>
    <cellStyle name="Migliaia 25 2 6" xfId="4930" xr:uid="{00000000-0005-0000-0000-0000550B0000}"/>
    <cellStyle name="Migliaia 25 3" xfId="1062" xr:uid="{00000000-0005-0000-0000-0000560B0000}"/>
    <cellStyle name="Migliaia 25 3 2" xfId="1063" xr:uid="{00000000-0005-0000-0000-0000570B0000}"/>
    <cellStyle name="Migliaia 25 3 2 2" xfId="3773" xr:uid="{00000000-0005-0000-0000-0000580B0000}"/>
    <cellStyle name="Migliaia 25 3 2 2 2" xfId="5911" xr:uid="{00000000-0005-0000-0000-0000590B0000}"/>
    <cellStyle name="Migliaia 25 3 2 2 3" xfId="6856" xr:uid="{00000000-0005-0000-0000-00005A0B0000}"/>
    <cellStyle name="Migliaia 25 3 2 2 4" xfId="4934" xr:uid="{00000000-0005-0000-0000-00005B0B0000}"/>
    <cellStyle name="Migliaia 25 3 2 3" xfId="3774" xr:uid="{00000000-0005-0000-0000-00005C0B0000}"/>
    <cellStyle name="Migliaia 25 3 2 4" xfId="5910" xr:uid="{00000000-0005-0000-0000-00005D0B0000}"/>
    <cellStyle name="Migliaia 25 3 2 5" xfId="6855" xr:uid="{00000000-0005-0000-0000-00005E0B0000}"/>
    <cellStyle name="Migliaia 25 3 2 6" xfId="4933" xr:uid="{00000000-0005-0000-0000-00005F0B0000}"/>
    <cellStyle name="Migliaia 25 3 3" xfId="1064" xr:uid="{00000000-0005-0000-0000-0000600B0000}"/>
    <cellStyle name="Migliaia 25 3 3 2" xfId="2399" xr:uid="{00000000-0005-0000-0000-0000610B0000}"/>
    <cellStyle name="Migliaia 25 3 4" xfId="2398" xr:uid="{00000000-0005-0000-0000-0000620B0000}"/>
    <cellStyle name="Migliaia 25 3 5" xfId="3775" xr:uid="{00000000-0005-0000-0000-0000630B0000}"/>
    <cellStyle name="Migliaia 25 3 6" xfId="5909" xr:uid="{00000000-0005-0000-0000-0000640B0000}"/>
    <cellStyle name="Migliaia 25 3 7" xfId="6854" xr:uid="{00000000-0005-0000-0000-0000650B0000}"/>
    <cellStyle name="Migliaia 25 3 8" xfId="4932" xr:uid="{00000000-0005-0000-0000-0000660B0000}"/>
    <cellStyle name="Migliaia 25 4" xfId="1065" xr:uid="{00000000-0005-0000-0000-0000670B0000}"/>
    <cellStyle name="Migliaia 25 4 2" xfId="1066" xr:uid="{00000000-0005-0000-0000-0000680B0000}"/>
    <cellStyle name="Migliaia 25 4 2 2" xfId="2401" xr:uid="{00000000-0005-0000-0000-0000690B0000}"/>
    <cellStyle name="Migliaia 25 4 2 3" xfId="3776" xr:uid="{00000000-0005-0000-0000-00006A0B0000}"/>
    <cellStyle name="Migliaia 25 4 2 4" xfId="5913" xr:uid="{00000000-0005-0000-0000-00006B0B0000}"/>
    <cellStyle name="Migliaia 25 4 2 5" xfId="6858" xr:uid="{00000000-0005-0000-0000-00006C0B0000}"/>
    <cellStyle name="Migliaia 25 4 2 6" xfId="4936" xr:uid="{00000000-0005-0000-0000-00006D0B0000}"/>
    <cellStyle name="Migliaia 25 4 3" xfId="2400" xr:uid="{00000000-0005-0000-0000-00006E0B0000}"/>
    <cellStyle name="Migliaia 25 4 4" xfId="3777" xr:uid="{00000000-0005-0000-0000-00006F0B0000}"/>
    <cellStyle name="Migliaia 25 4 5" xfId="5912" xr:uid="{00000000-0005-0000-0000-0000700B0000}"/>
    <cellStyle name="Migliaia 25 4 6" xfId="6857" xr:uid="{00000000-0005-0000-0000-0000710B0000}"/>
    <cellStyle name="Migliaia 25 4 7" xfId="4935" xr:uid="{00000000-0005-0000-0000-0000720B0000}"/>
    <cellStyle name="Migliaia 25 5" xfId="1067" xr:uid="{00000000-0005-0000-0000-0000730B0000}"/>
    <cellStyle name="Migliaia 25 5 2" xfId="3778" xr:uid="{00000000-0005-0000-0000-0000740B0000}"/>
    <cellStyle name="Migliaia 25 5 3" xfId="5914" xr:uid="{00000000-0005-0000-0000-0000750B0000}"/>
    <cellStyle name="Migliaia 25 5 4" xfId="6859" xr:uid="{00000000-0005-0000-0000-0000760B0000}"/>
    <cellStyle name="Migliaia 25 5 5" xfId="4937" xr:uid="{00000000-0005-0000-0000-0000770B0000}"/>
    <cellStyle name="Migliaia 25 6" xfId="3779" xr:uid="{00000000-0005-0000-0000-0000780B0000}"/>
    <cellStyle name="Migliaia 25 7" xfId="5906" xr:uid="{00000000-0005-0000-0000-0000790B0000}"/>
    <cellStyle name="Migliaia 25 8" xfId="6851" xr:uid="{00000000-0005-0000-0000-00007A0B0000}"/>
    <cellStyle name="Migliaia 25 9" xfId="4929" xr:uid="{00000000-0005-0000-0000-00007B0B0000}"/>
    <cellStyle name="Migliaia 26" xfId="163" xr:uid="{00000000-0005-0000-0000-00007C0B0000}"/>
    <cellStyle name="Migliaia 26 2" xfId="505" xr:uid="{00000000-0005-0000-0000-00007D0B0000}"/>
    <cellStyle name="Migliaia 26 2 2" xfId="2402" xr:uid="{00000000-0005-0000-0000-00007E0B0000}"/>
    <cellStyle name="Migliaia 26 2 2 2" xfId="3780" xr:uid="{00000000-0005-0000-0000-00007F0B0000}"/>
    <cellStyle name="Migliaia 26 2 2 3" xfId="5917" xr:uid="{00000000-0005-0000-0000-0000800B0000}"/>
    <cellStyle name="Migliaia 26 2 2 4" xfId="6862" xr:uid="{00000000-0005-0000-0000-0000810B0000}"/>
    <cellStyle name="Migliaia 26 2 2 5" xfId="4940" xr:uid="{00000000-0005-0000-0000-0000820B0000}"/>
    <cellStyle name="Migliaia 26 2 3" xfId="3781" xr:uid="{00000000-0005-0000-0000-0000830B0000}"/>
    <cellStyle name="Migliaia 26 2 4" xfId="5916" xr:uid="{00000000-0005-0000-0000-0000840B0000}"/>
    <cellStyle name="Migliaia 26 2 5" xfId="6861" xr:uid="{00000000-0005-0000-0000-0000850B0000}"/>
    <cellStyle name="Migliaia 26 2 6" xfId="4939" xr:uid="{00000000-0005-0000-0000-0000860B0000}"/>
    <cellStyle name="Migliaia 26 3" xfId="1068" xr:uid="{00000000-0005-0000-0000-0000870B0000}"/>
    <cellStyle name="Migliaia 26 3 2" xfId="1069" xr:uid="{00000000-0005-0000-0000-0000880B0000}"/>
    <cellStyle name="Migliaia 26 3 2 2" xfId="3782" xr:uid="{00000000-0005-0000-0000-0000890B0000}"/>
    <cellStyle name="Migliaia 26 3 2 2 2" xfId="5920" xr:uid="{00000000-0005-0000-0000-00008A0B0000}"/>
    <cellStyle name="Migliaia 26 3 2 2 3" xfId="6865" xr:uid="{00000000-0005-0000-0000-00008B0B0000}"/>
    <cellStyle name="Migliaia 26 3 2 2 4" xfId="4943" xr:uid="{00000000-0005-0000-0000-00008C0B0000}"/>
    <cellStyle name="Migliaia 26 3 2 3" xfId="3783" xr:uid="{00000000-0005-0000-0000-00008D0B0000}"/>
    <cellStyle name="Migliaia 26 3 2 4" xfId="5919" xr:uid="{00000000-0005-0000-0000-00008E0B0000}"/>
    <cellStyle name="Migliaia 26 3 2 5" xfId="6864" xr:uid="{00000000-0005-0000-0000-00008F0B0000}"/>
    <cellStyle name="Migliaia 26 3 2 6" xfId="4942" xr:uid="{00000000-0005-0000-0000-0000900B0000}"/>
    <cellStyle name="Migliaia 26 3 3" xfId="1070" xr:uid="{00000000-0005-0000-0000-0000910B0000}"/>
    <cellStyle name="Migliaia 26 3 3 2" xfId="2404" xr:uid="{00000000-0005-0000-0000-0000920B0000}"/>
    <cellStyle name="Migliaia 26 3 4" xfId="2403" xr:uid="{00000000-0005-0000-0000-0000930B0000}"/>
    <cellStyle name="Migliaia 26 3 5" xfId="3784" xr:uid="{00000000-0005-0000-0000-0000940B0000}"/>
    <cellStyle name="Migliaia 26 3 6" xfId="5918" xr:uid="{00000000-0005-0000-0000-0000950B0000}"/>
    <cellStyle name="Migliaia 26 3 7" xfId="6863" xr:uid="{00000000-0005-0000-0000-0000960B0000}"/>
    <cellStyle name="Migliaia 26 3 8" xfId="4941" xr:uid="{00000000-0005-0000-0000-0000970B0000}"/>
    <cellStyle name="Migliaia 26 4" xfId="1071" xr:uid="{00000000-0005-0000-0000-0000980B0000}"/>
    <cellStyle name="Migliaia 26 4 2" xfId="1072" xr:uid="{00000000-0005-0000-0000-0000990B0000}"/>
    <cellStyle name="Migliaia 26 4 2 2" xfId="2406" xr:uid="{00000000-0005-0000-0000-00009A0B0000}"/>
    <cellStyle name="Migliaia 26 4 2 3" xfId="3785" xr:uid="{00000000-0005-0000-0000-00009B0B0000}"/>
    <cellStyle name="Migliaia 26 4 2 4" xfId="5922" xr:uid="{00000000-0005-0000-0000-00009C0B0000}"/>
    <cellStyle name="Migliaia 26 4 2 5" xfId="6867" xr:uid="{00000000-0005-0000-0000-00009D0B0000}"/>
    <cellStyle name="Migliaia 26 4 2 6" xfId="4945" xr:uid="{00000000-0005-0000-0000-00009E0B0000}"/>
    <cellStyle name="Migliaia 26 4 3" xfId="2405" xr:uid="{00000000-0005-0000-0000-00009F0B0000}"/>
    <cellStyle name="Migliaia 26 4 4" xfId="3786" xr:uid="{00000000-0005-0000-0000-0000A00B0000}"/>
    <cellStyle name="Migliaia 26 4 5" xfId="5921" xr:uid="{00000000-0005-0000-0000-0000A10B0000}"/>
    <cellStyle name="Migliaia 26 4 6" xfId="6866" xr:uid="{00000000-0005-0000-0000-0000A20B0000}"/>
    <cellStyle name="Migliaia 26 4 7" xfId="4944" xr:uid="{00000000-0005-0000-0000-0000A30B0000}"/>
    <cellStyle name="Migliaia 26 5" xfId="1073" xr:uid="{00000000-0005-0000-0000-0000A40B0000}"/>
    <cellStyle name="Migliaia 26 5 2" xfId="3787" xr:uid="{00000000-0005-0000-0000-0000A50B0000}"/>
    <cellStyle name="Migliaia 26 5 3" xfId="5923" xr:uid="{00000000-0005-0000-0000-0000A60B0000}"/>
    <cellStyle name="Migliaia 26 5 4" xfId="6868" xr:uid="{00000000-0005-0000-0000-0000A70B0000}"/>
    <cellStyle name="Migliaia 26 5 5" xfId="4946" xr:uid="{00000000-0005-0000-0000-0000A80B0000}"/>
    <cellStyle name="Migliaia 26 6" xfId="3788" xr:uid="{00000000-0005-0000-0000-0000A90B0000}"/>
    <cellStyle name="Migliaia 26 7" xfId="5915" xr:uid="{00000000-0005-0000-0000-0000AA0B0000}"/>
    <cellStyle name="Migliaia 26 8" xfId="6860" xr:uid="{00000000-0005-0000-0000-0000AB0B0000}"/>
    <cellStyle name="Migliaia 26 9" xfId="4938" xr:uid="{00000000-0005-0000-0000-0000AC0B0000}"/>
    <cellStyle name="Migliaia 27" xfId="164" xr:uid="{00000000-0005-0000-0000-0000AD0B0000}"/>
    <cellStyle name="Migliaia 27 2" xfId="506" xr:uid="{00000000-0005-0000-0000-0000AE0B0000}"/>
    <cellStyle name="Migliaia 27 2 2" xfId="2407" xr:uid="{00000000-0005-0000-0000-0000AF0B0000}"/>
    <cellStyle name="Migliaia 27 2 2 2" xfId="3789" xr:uid="{00000000-0005-0000-0000-0000B00B0000}"/>
    <cellStyle name="Migliaia 27 2 2 3" xfId="5926" xr:uid="{00000000-0005-0000-0000-0000B10B0000}"/>
    <cellStyle name="Migliaia 27 2 2 4" xfId="6871" xr:uid="{00000000-0005-0000-0000-0000B20B0000}"/>
    <cellStyle name="Migliaia 27 2 2 5" xfId="4949" xr:uid="{00000000-0005-0000-0000-0000B30B0000}"/>
    <cellStyle name="Migliaia 27 2 3" xfId="3790" xr:uid="{00000000-0005-0000-0000-0000B40B0000}"/>
    <cellStyle name="Migliaia 27 2 4" xfId="5925" xr:uid="{00000000-0005-0000-0000-0000B50B0000}"/>
    <cellStyle name="Migliaia 27 2 5" xfId="6870" xr:uid="{00000000-0005-0000-0000-0000B60B0000}"/>
    <cellStyle name="Migliaia 27 2 6" xfId="4948" xr:uid="{00000000-0005-0000-0000-0000B70B0000}"/>
    <cellStyle name="Migliaia 27 3" xfId="1074" xr:uid="{00000000-0005-0000-0000-0000B80B0000}"/>
    <cellStyle name="Migliaia 27 3 2" xfId="1075" xr:uid="{00000000-0005-0000-0000-0000B90B0000}"/>
    <cellStyle name="Migliaia 27 3 2 2" xfId="3791" xr:uid="{00000000-0005-0000-0000-0000BA0B0000}"/>
    <cellStyle name="Migliaia 27 3 2 2 2" xfId="5929" xr:uid="{00000000-0005-0000-0000-0000BB0B0000}"/>
    <cellStyle name="Migliaia 27 3 2 2 3" xfId="6874" xr:uid="{00000000-0005-0000-0000-0000BC0B0000}"/>
    <cellStyle name="Migliaia 27 3 2 2 4" xfId="4952" xr:uid="{00000000-0005-0000-0000-0000BD0B0000}"/>
    <cellStyle name="Migliaia 27 3 2 3" xfId="3792" xr:uid="{00000000-0005-0000-0000-0000BE0B0000}"/>
    <cellStyle name="Migliaia 27 3 2 4" xfId="5928" xr:uid="{00000000-0005-0000-0000-0000BF0B0000}"/>
    <cellStyle name="Migliaia 27 3 2 5" xfId="6873" xr:uid="{00000000-0005-0000-0000-0000C00B0000}"/>
    <cellStyle name="Migliaia 27 3 2 6" xfId="4951" xr:uid="{00000000-0005-0000-0000-0000C10B0000}"/>
    <cellStyle name="Migliaia 27 3 3" xfId="1076" xr:uid="{00000000-0005-0000-0000-0000C20B0000}"/>
    <cellStyle name="Migliaia 27 3 3 2" xfId="2409" xr:uid="{00000000-0005-0000-0000-0000C30B0000}"/>
    <cellStyle name="Migliaia 27 3 4" xfId="2408" xr:uid="{00000000-0005-0000-0000-0000C40B0000}"/>
    <cellStyle name="Migliaia 27 3 5" xfId="3793" xr:uid="{00000000-0005-0000-0000-0000C50B0000}"/>
    <cellStyle name="Migliaia 27 3 6" xfId="5927" xr:uid="{00000000-0005-0000-0000-0000C60B0000}"/>
    <cellStyle name="Migliaia 27 3 7" xfId="6872" xr:uid="{00000000-0005-0000-0000-0000C70B0000}"/>
    <cellStyle name="Migliaia 27 3 8" xfId="4950" xr:uid="{00000000-0005-0000-0000-0000C80B0000}"/>
    <cellStyle name="Migliaia 27 4" xfId="1077" xr:uid="{00000000-0005-0000-0000-0000C90B0000}"/>
    <cellStyle name="Migliaia 27 4 2" xfId="1078" xr:uid="{00000000-0005-0000-0000-0000CA0B0000}"/>
    <cellStyle name="Migliaia 27 4 2 2" xfId="2411" xr:uid="{00000000-0005-0000-0000-0000CB0B0000}"/>
    <cellStyle name="Migliaia 27 4 2 3" xfId="3794" xr:uid="{00000000-0005-0000-0000-0000CC0B0000}"/>
    <cellStyle name="Migliaia 27 4 2 4" xfId="5931" xr:uid="{00000000-0005-0000-0000-0000CD0B0000}"/>
    <cellStyle name="Migliaia 27 4 2 5" xfId="6876" xr:uid="{00000000-0005-0000-0000-0000CE0B0000}"/>
    <cellStyle name="Migliaia 27 4 2 6" xfId="4954" xr:uid="{00000000-0005-0000-0000-0000CF0B0000}"/>
    <cellStyle name="Migliaia 27 4 3" xfId="2410" xr:uid="{00000000-0005-0000-0000-0000D00B0000}"/>
    <cellStyle name="Migliaia 27 4 4" xfId="3795" xr:uid="{00000000-0005-0000-0000-0000D10B0000}"/>
    <cellStyle name="Migliaia 27 4 5" xfId="5930" xr:uid="{00000000-0005-0000-0000-0000D20B0000}"/>
    <cellStyle name="Migliaia 27 4 6" xfId="6875" xr:uid="{00000000-0005-0000-0000-0000D30B0000}"/>
    <cellStyle name="Migliaia 27 4 7" xfId="4953" xr:uid="{00000000-0005-0000-0000-0000D40B0000}"/>
    <cellStyle name="Migliaia 27 5" xfId="1079" xr:uid="{00000000-0005-0000-0000-0000D50B0000}"/>
    <cellStyle name="Migliaia 27 5 2" xfId="3796" xr:uid="{00000000-0005-0000-0000-0000D60B0000}"/>
    <cellStyle name="Migliaia 27 5 3" xfId="5932" xr:uid="{00000000-0005-0000-0000-0000D70B0000}"/>
    <cellStyle name="Migliaia 27 5 4" xfId="6877" xr:uid="{00000000-0005-0000-0000-0000D80B0000}"/>
    <cellStyle name="Migliaia 27 5 5" xfId="4955" xr:uid="{00000000-0005-0000-0000-0000D90B0000}"/>
    <cellStyle name="Migliaia 27 6" xfId="3797" xr:uid="{00000000-0005-0000-0000-0000DA0B0000}"/>
    <cellStyle name="Migliaia 27 7" xfId="5924" xr:uid="{00000000-0005-0000-0000-0000DB0B0000}"/>
    <cellStyle name="Migliaia 27 8" xfId="6869" xr:uid="{00000000-0005-0000-0000-0000DC0B0000}"/>
    <cellStyle name="Migliaia 27 9" xfId="4947" xr:uid="{00000000-0005-0000-0000-0000DD0B0000}"/>
    <cellStyle name="Migliaia 28" xfId="165" xr:uid="{00000000-0005-0000-0000-0000DE0B0000}"/>
    <cellStyle name="Migliaia 28 2" xfId="507" xr:uid="{00000000-0005-0000-0000-0000DF0B0000}"/>
    <cellStyle name="Migliaia 28 2 2" xfId="2412" xr:uid="{00000000-0005-0000-0000-0000E00B0000}"/>
    <cellStyle name="Migliaia 28 2 2 2" xfId="3798" xr:uid="{00000000-0005-0000-0000-0000E10B0000}"/>
    <cellStyle name="Migliaia 28 2 2 3" xfId="5935" xr:uid="{00000000-0005-0000-0000-0000E20B0000}"/>
    <cellStyle name="Migliaia 28 2 2 4" xfId="6880" xr:uid="{00000000-0005-0000-0000-0000E30B0000}"/>
    <cellStyle name="Migliaia 28 2 2 5" xfId="4958" xr:uid="{00000000-0005-0000-0000-0000E40B0000}"/>
    <cellStyle name="Migliaia 28 2 3" xfId="3799" xr:uid="{00000000-0005-0000-0000-0000E50B0000}"/>
    <cellStyle name="Migliaia 28 2 4" xfId="5934" xr:uid="{00000000-0005-0000-0000-0000E60B0000}"/>
    <cellStyle name="Migliaia 28 2 5" xfId="6879" xr:uid="{00000000-0005-0000-0000-0000E70B0000}"/>
    <cellStyle name="Migliaia 28 2 6" xfId="4957" xr:uid="{00000000-0005-0000-0000-0000E80B0000}"/>
    <cellStyle name="Migliaia 28 3" xfId="1080" xr:uid="{00000000-0005-0000-0000-0000E90B0000}"/>
    <cellStyle name="Migliaia 28 3 2" xfId="1081" xr:uid="{00000000-0005-0000-0000-0000EA0B0000}"/>
    <cellStyle name="Migliaia 28 3 2 2" xfId="3800" xr:uid="{00000000-0005-0000-0000-0000EB0B0000}"/>
    <cellStyle name="Migliaia 28 3 2 2 2" xfId="5938" xr:uid="{00000000-0005-0000-0000-0000EC0B0000}"/>
    <cellStyle name="Migliaia 28 3 2 2 3" xfId="6883" xr:uid="{00000000-0005-0000-0000-0000ED0B0000}"/>
    <cellStyle name="Migliaia 28 3 2 2 4" xfId="4961" xr:uid="{00000000-0005-0000-0000-0000EE0B0000}"/>
    <cellStyle name="Migliaia 28 3 2 3" xfId="3801" xr:uid="{00000000-0005-0000-0000-0000EF0B0000}"/>
    <cellStyle name="Migliaia 28 3 2 4" xfId="5937" xr:uid="{00000000-0005-0000-0000-0000F00B0000}"/>
    <cellStyle name="Migliaia 28 3 2 5" xfId="6882" xr:uid="{00000000-0005-0000-0000-0000F10B0000}"/>
    <cellStyle name="Migliaia 28 3 2 6" xfId="4960" xr:uid="{00000000-0005-0000-0000-0000F20B0000}"/>
    <cellStyle name="Migliaia 28 3 3" xfId="1082" xr:uid="{00000000-0005-0000-0000-0000F30B0000}"/>
    <cellStyle name="Migliaia 28 3 3 2" xfId="2414" xr:uid="{00000000-0005-0000-0000-0000F40B0000}"/>
    <cellStyle name="Migliaia 28 3 4" xfId="2413" xr:uid="{00000000-0005-0000-0000-0000F50B0000}"/>
    <cellStyle name="Migliaia 28 3 5" xfId="3802" xr:uid="{00000000-0005-0000-0000-0000F60B0000}"/>
    <cellStyle name="Migliaia 28 3 6" xfId="5936" xr:uid="{00000000-0005-0000-0000-0000F70B0000}"/>
    <cellStyle name="Migliaia 28 3 7" xfId="6881" xr:uid="{00000000-0005-0000-0000-0000F80B0000}"/>
    <cellStyle name="Migliaia 28 3 8" xfId="4959" xr:uid="{00000000-0005-0000-0000-0000F90B0000}"/>
    <cellStyle name="Migliaia 28 4" xfId="1083" xr:uid="{00000000-0005-0000-0000-0000FA0B0000}"/>
    <cellStyle name="Migliaia 28 4 2" xfId="1084" xr:uid="{00000000-0005-0000-0000-0000FB0B0000}"/>
    <cellStyle name="Migliaia 28 4 2 2" xfId="2416" xr:uid="{00000000-0005-0000-0000-0000FC0B0000}"/>
    <cellStyle name="Migliaia 28 4 2 3" xfId="3803" xr:uid="{00000000-0005-0000-0000-0000FD0B0000}"/>
    <cellStyle name="Migliaia 28 4 2 4" xfId="5940" xr:uid="{00000000-0005-0000-0000-0000FE0B0000}"/>
    <cellStyle name="Migliaia 28 4 2 5" xfId="6885" xr:uid="{00000000-0005-0000-0000-0000FF0B0000}"/>
    <cellStyle name="Migliaia 28 4 2 6" xfId="4963" xr:uid="{00000000-0005-0000-0000-0000000C0000}"/>
    <cellStyle name="Migliaia 28 4 3" xfId="2415" xr:uid="{00000000-0005-0000-0000-0000010C0000}"/>
    <cellStyle name="Migliaia 28 4 4" xfId="3804" xr:uid="{00000000-0005-0000-0000-0000020C0000}"/>
    <cellStyle name="Migliaia 28 4 5" xfId="5939" xr:uid="{00000000-0005-0000-0000-0000030C0000}"/>
    <cellStyle name="Migliaia 28 4 6" xfId="6884" xr:uid="{00000000-0005-0000-0000-0000040C0000}"/>
    <cellStyle name="Migliaia 28 4 7" xfId="4962" xr:uid="{00000000-0005-0000-0000-0000050C0000}"/>
    <cellStyle name="Migliaia 28 5" xfId="1085" xr:uid="{00000000-0005-0000-0000-0000060C0000}"/>
    <cellStyle name="Migliaia 28 5 2" xfId="3805" xr:uid="{00000000-0005-0000-0000-0000070C0000}"/>
    <cellStyle name="Migliaia 28 5 3" xfId="5941" xr:uid="{00000000-0005-0000-0000-0000080C0000}"/>
    <cellStyle name="Migliaia 28 5 4" xfId="6886" xr:uid="{00000000-0005-0000-0000-0000090C0000}"/>
    <cellStyle name="Migliaia 28 5 5" xfId="4964" xr:uid="{00000000-0005-0000-0000-00000A0C0000}"/>
    <cellStyle name="Migliaia 28 6" xfId="3806" xr:uid="{00000000-0005-0000-0000-00000B0C0000}"/>
    <cellStyle name="Migliaia 28 7" xfId="5933" xr:uid="{00000000-0005-0000-0000-00000C0C0000}"/>
    <cellStyle name="Migliaia 28 8" xfId="6878" xr:uid="{00000000-0005-0000-0000-00000D0C0000}"/>
    <cellStyle name="Migliaia 28 9" xfId="4956" xr:uid="{00000000-0005-0000-0000-00000E0C0000}"/>
    <cellStyle name="Migliaia 29" xfId="166" xr:uid="{00000000-0005-0000-0000-00000F0C0000}"/>
    <cellStyle name="Migliaia 29 2" xfId="508" xr:uid="{00000000-0005-0000-0000-0000100C0000}"/>
    <cellStyle name="Migliaia 29 2 2" xfId="2417" xr:uid="{00000000-0005-0000-0000-0000110C0000}"/>
    <cellStyle name="Migliaia 29 2 2 2" xfId="3807" xr:uid="{00000000-0005-0000-0000-0000120C0000}"/>
    <cellStyle name="Migliaia 29 2 2 3" xfId="5944" xr:uid="{00000000-0005-0000-0000-0000130C0000}"/>
    <cellStyle name="Migliaia 29 2 2 4" xfId="6889" xr:uid="{00000000-0005-0000-0000-0000140C0000}"/>
    <cellStyle name="Migliaia 29 2 2 5" xfId="4967" xr:uid="{00000000-0005-0000-0000-0000150C0000}"/>
    <cellStyle name="Migliaia 29 2 3" xfId="3808" xr:uid="{00000000-0005-0000-0000-0000160C0000}"/>
    <cellStyle name="Migliaia 29 2 4" xfId="5943" xr:uid="{00000000-0005-0000-0000-0000170C0000}"/>
    <cellStyle name="Migliaia 29 2 5" xfId="6888" xr:uid="{00000000-0005-0000-0000-0000180C0000}"/>
    <cellStyle name="Migliaia 29 2 6" xfId="4966" xr:uid="{00000000-0005-0000-0000-0000190C0000}"/>
    <cellStyle name="Migliaia 29 3" xfId="1086" xr:uid="{00000000-0005-0000-0000-00001A0C0000}"/>
    <cellStyle name="Migliaia 29 3 2" xfId="1087" xr:uid="{00000000-0005-0000-0000-00001B0C0000}"/>
    <cellStyle name="Migliaia 29 3 2 2" xfId="3809" xr:uid="{00000000-0005-0000-0000-00001C0C0000}"/>
    <cellStyle name="Migliaia 29 3 2 2 2" xfId="5947" xr:uid="{00000000-0005-0000-0000-00001D0C0000}"/>
    <cellStyle name="Migliaia 29 3 2 2 3" xfId="6892" xr:uid="{00000000-0005-0000-0000-00001E0C0000}"/>
    <cellStyle name="Migliaia 29 3 2 2 4" xfId="4970" xr:uid="{00000000-0005-0000-0000-00001F0C0000}"/>
    <cellStyle name="Migliaia 29 3 2 3" xfId="3810" xr:uid="{00000000-0005-0000-0000-0000200C0000}"/>
    <cellStyle name="Migliaia 29 3 2 4" xfId="5946" xr:uid="{00000000-0005-0000-0000-0000210C0000}"/>
    <cellStyle name="Migliaia 29 3 2 5" xfId="6891" xr:uid="{00000000-0005-0000-0000-0000220C0000}"/>
    <cellStyle name="Migliaia 29 3 2 6" xfId="4969" xr:uid="{00000000-0005-0000-0000-0000230C0000}"/>
    <cellStyle name="Migliaia 29 3 3" xfId="1088" xr:uid="{00000000-0005-0000-0000-0000240C0000}"/>
    <cellStyle name="Migliaia 29 3 3 2" xfId="2419" xr:uid="{00000000-0005-0000-0000-0000250C0000}"/>
    <cellStyle name="Migliaia 29 3 4" xfId="2418" xr:uid="{00000000-0005-0000-0000-0000260C0000}"/>
    <cellStyle name="Migliaia 29 3 5" xfId="3811" xr:uid="{00000000-0005-0000-0000-0000270C0000}"/>
    <cellStyle name="Migliaia 29 3 6" xfId="5945" xr:uid="{00000000-0005-0000-0000-0000280C0000}"/>
    <cellStyle name="Migliaia 29 3 7" xfId="6890" xr:uid="{00000000-0005-0000-0000-0000290C0000}"/>
    <cellStyle name="Migliaia 29 3 8" xfId="4968" xr:uid="{00000000-0005-0000-0000-00002A0C0000}"/>
    <cellStyle name="Migliaia 29 4" xfId="1089" xr:uid="{00000000-0005-0000-0000-00002B0C0000}"/>
    <cellStyle name="Migliaia 29 4 2" xfId="1090" xr:uid="{00000000-0005-0000-0000-00002C0C0000}"/>
    <cellStyle name="Migliaia 29 4 2 2" xfId="2421" xr:uid="{00000000-0005-0000-0000-00002D0C0000}"/>
    <cellStyle name="Migliaia 29 4 2 3" xfId="3812" xr:uid="{00000000-0005-0000-0000-00002E0C0000}"/>
    <cellStyle name="Migliaia 29 4 2 4" xfId="5949" xr:uid="{00000000-0005-0000-0000-00002F0C0000}"/>
    <cellStyle name="Migliaia 29 4 2 5" xfId="6894" xr:uid="{00000000-0005-0000-0000-0000300C0000}"/>
    <cellStyle name="Migliaia 29 4 2 6" xfId="4972" xr:uid="{00000000-0005-0000-0000-0000310C0000}"/>
    <cellStyle name="Migliaia 29 4 3" xfId="2420" xr:uid="{00000000-0005-0000-0000-0000320C0000}"/>
    <cellStyle name="Migliaia 29 4 4" xfId="3813" xr:uid="{00000000-0005-0000-0000-0000330C0000}"/>
    <cellStyle name="Migliaia 29 4 5" xfId="5948" xr:uid="{00000000-0005-0000-0000-0000340C0000}"/>
    <cellStyle name="Migliaia 29 4 6" xfId="6893" xr:uid="{00000000-0005-0000-0000-0000350C0000}"/>
    <cellStyle name="Migliaia 29 4 7" xfId="4971" xr:uid="{00000000-0005-0000-0000-0000360C0000}"/>
    <cellStyle name="Migliaia 29 5" xfId="1091" xr:uid="{00000000-0005-0000-0000-0000370C0000}"/>
    <cellStyle name="Migliaia 29 5 2" xfId="3814" xr:uid="{00000000-0005-0000-0000-0000380C0000}"/>
    <cellStyle name="Migliaia 29 5 3" xfId="5950" xr:uid="{00000000-0005-0000-0000-0000390C0000}"/>
    <cellStyle name="Migliaia 29 5 4" xfId="6895" xr:uid="{00000000-0005-0000-0000-00003A0C0000}"/>
    <cellStyle name="Migliaia 29 5 5" xfId="4973" xr:uid="{00000000-0005-0000-0000-00003B0C0000}"/>
    <cellStyle name="Migliaia 29 6" xfId="3815" xr:uid="{00000000-0005-0000-0000-00003C0C0000}"/>
    <cellStyle name="Migliaia 29 7" xfId="5942" xr:uid="{00000000-0005-0000-0000-00003D0C0000}"/>
    <cellStyle name="Migliaia 29 8" xfId="6887" xr:uid="{00000000-0005-0000-0000-00003E0C0000}"/>
    <cellStyle name="Migliaia 29 9" xfId="4965" xr:uid="{00000000-0005-0000-0000-00003F0C0000}"/>
    <cellStyle name="Migliaia 3" xfId="167" xr:uid="{00000000-0005-0000-0000-0000400C0000}"/>
    <cellStyle name="Migliaia 3 2" xfId="509" xr:uid="{00000000-0005-0000-0000-0000410C0000}"/>
    <cellStyle name="Migliaia 3 2 2" xfId="2422" xr:uid="{00000000-0005-0000-0000-0000420C0000}"/>
    <cellStyle name="Migliaia 3 2 2 2" xfId="3816" xr:uid="{00000000-0005-0000-0000-0000430C0000}"/>
    <cellStyle name="Migliaia 3 2 2 3" xfId="5953" xr:uid="{00000000-0005-0000-0000-0000440C0000}"/>
    <cellStyle name="Migliaia 3 2 2 4" xfId="6898" xr:uid="{00000000-0005-0000-0000-0000450C0000}"/>
    <cellStyle name="Migliaia 3 2 2 5" xfId="4976" xr:uid="{00000000-0005-0000-0000-0000460C0000}"/>
    <cellStyle name="Migliaia 3 2 3" xfId="3817" xr:uid="{00000000-0005-0000-0000-0000470C0000}"/>
    <cellStyle name="Migliaia 3 2 4" xfId="5952" xr:uid="{00000000-0005-0000-0000-0000480C0000}"/>
    <cellStyle name="Migliaia 3 2 5" xfId="6897" xr:uid="{00000000-0005-0000-0000-0000490C0000}"/>
    <cellStyle name="Migliaia 3 2 6" xfId="4975" xr:uid="{00000000-0005-0000-0000-00004A0C0000}"/>
    <cellStyle name="Migliaia 3 3" xfId="1092" xr:uid="{00000000-0005-0000-0000-00004B0C0000}"/>
    <cellStyle name="Migliaia 3 3 2" xfId="1093" xr:uid="{00000000-0005-0000-0000-00004C0C0000}"/>
    <cellStyle name="Migliaia 3 3 2 2" xfId="3818" xr:uid="{00000000-0005-0000-0000-00004D0C0000}"/>
    <cellStyle name="Migliaia 3 3 2 2 2" xfId="5956" xr:uid="{00000000-0005-0000-0000-00004E0C0000}"/>
    <cellStyle name="Migliaia 3 3 2 2 3" xfId="6901" xr:uid="{00000000-0005-0000-0000-00004F0C0000}"/>
    <cellStyle name="Migliaia 3 3 2 2 4" xfId="4979" xr:uid="{00000000-0005-0000-0000-0000500C0000}"/>
    <cellStyle name="Migliaia 3 3 2 3" xfId="3819" xr:uid="{00000000-0005-0000-0000-0000510C0000}"/>
    <cellStyle name="Migliaia 3 3 2 4" xfId="5955" xr:uid="{00000000-0005-0000-0000-0000520C0000}"/>
    <cellStyle name="Migliaia 3 3 2 5" xfId="6900" xr:uid="{00000000-0005-0000-0000-0000530C0000}"/>
    <cellStyle name="Migliaia 3 3 2 6" xfId="4978" xr:uid="{00000000-0005-0000-0000-0000540C0000}"/>
    <cellStyle name="Migliaia 3 3 3" xfId="1094" xr:uid="{00000000-0005-0000-0000-0000550C0000}"/>
    <cellStyle name="Migliaia 3 3 3 2" xfId="2424" xr:uid="{00000000-0005-0000-0000-0000560C0000}"/>
    <cellStyle name="Migliaia 3 3 4" xfId="2423" xr:uid="{00000000-0005-0000-0000-0000570C0000}"/>
    <cellStyle name="Migliaia 3 3 5" xfId="3820" xr:uid="{00000000-0005-0000-0000-0000580C0000}"/>
    <cellStyle name="Migliaia 3 3 6" xfId="5954" xr:uid="{00000000-0005-0000-0000-0000590C0000}"/>
    <cellStyle name="Migliaia 3 3 7" xfId="6899" xr:uid="{00000000-0005-0000-0000-00005A0C0000}"/>
    <cellStyle name="Migliaia 3 3 8" xfId="4977" xr:uid="{00000000-0005-0000-0000-00005B0C0000}"/>
    <cellStyle name="Migliaia 3 4" xfId="1095" xr:uid="{00000000-0005-0000-0000-00005C0C0000}"/>
    <cellStyle name="Migliaia 3 4 2" xfId="1096" xr:uid="{00000000-0005-0000-0000-00005D0C0000}"/>
    <cellStyle name="Migliaia 3 4 2 2" xfId="2426" xr:uid="{00000000-0005-0000-0000-00005E0C0000}"/>
    <cellStyle name="Migliaia 3 4 2 3" xfId="3821" xr:uid="{00000000-0005-0000-0000-00005F0C0000}"/>
    <cellStyle name="Migliaia 3 4 2 4" xfId="5958" xr:uid="{00000000-0005-0000-0000-0000600C0000}"/>
    <cellStyle name="Migliaia 3 4 2 5" xfId="6903" xr:uid="{00000000-0005-0000-0000-0000610C0000}"/>
    <cellStyle name="Migliaia 3 4 2 6" xfId="4981" xr:uid="{00000000-0005-0000-0000-0000620C0000}"/>
    <cellStyle name="Migliaia 3 4 3" xfId="2425" xr:uid="{00000000-0005-0000-0000-0000630C0000}"/>
    <cellStyle name="Migliaia 3 4 4" xfId="3822" xr:uid="{00000000-0005-0000-0000-0000640C0000}"/>
    <cellStyle name="Migliaia 3 4 5" xfId="5957" xr:uid="{00000000-0005-0000-0000-0000650C0000}"/>
    <cellStyle name="Migliaia 3 4 6" xfId="6902" xr:uid="{00000000-0005-0000-0000-0000660C0000}"/>
    <cellStyle name="Migliaia 3 4 7" xfId="4980" xr:uid="{00000000-0005-0000-0000-0000670C0000}"/>
    <cellStyle name="Migliaia 3 5" xfId="1097" xr:uid="{00000000-0005-0000-0000-0000680C0000}"/>
    <cellStyle name="Migliaia 3 5 2" xfId="3823" xr:uid="{00000000-0005-0000-0000-0000690C0000}"/>
    <cellStyle name="Migliaia 3 5 3" xfId="5959" xr:uid="{00000000-0005-0000-0000-00006A0C0000}"/>
    <cellStyle name="Migliaia 3 5 4" xfId="6904" xr:uid="{00000000-0005-0000-0000-00006B0C0000}"/>
    <cellStyle name="Migliaia 3 5 5" xfId="4982" xr:uid="{00000000-0005-0000-0000-00006C0C0000}"/>
    <cellStyle name="Migliaia 3 6" xfId="3824" xr:uid="{00000000-0005-0000-0000-00006D0C0000}"/>
    <cellStyle name="Migliaia 3 7" xfId="5951" xr:uid="{00000000-0005-0000-0000-00006E0C0000}"/>
    <cellStyle name="Migliaia 3 8" xfId="6896" xr:uid="{00000000-0005-0000-0000-00006F0C0000}"/>
    <cellStyle name="Migliaia 3 9" xfId="4974" xr:uid="{00000000-0005-0000-0000-0000700C0000}"/>
    <cellStyle name="Migliaia 30" xfId="168" xr:uid="{00000000-0005-0000-0000-0000710C0000}"/>
    <cellStyle name="Migliaia 30 2" xfId="510" xr:uid="{00000000-0005-0000-0000-0000720C0000}"/>
    <cellStyle name="Migliaia 30 2 2" xfId="2427" xr:uid="{00000000-0005-0000-0000-0000730C0000}"/>
    <cellStyle name="Migliaia 30 2 2 2" xfId="3825" xr:uid="{00000000-0005-0000-0000-0000740C0000}"/>
    <cellStyle name="Migliaia 30 2 2 3" xfId="5962" xr:uid="{00000000-0005-0000-0000-0000750C0000}"/>
    <cellStyle name="Migliaia 30 2 2 4" xfId="6907" xr:uid="{00000000-0005-0000-0000-0000760C0000}"/>
    <cellStyle name="Migliaia 30 2 2 5" xfId="4985" xr:uid="{00000000-0005-0000-0000-0000770C0000}"/>
    <cellStyle name="Migliaia 30 2 3" xfId="3826" xr:uid="{00000000-0005-0000-0000-0000780C0000}"/>
    <cellStyle name="Migliaia 30 2 4" xfId="5961" xr:uid="{00000000-0005-0000-0000-0000790C0000}"/>
    <cellStyle name="Migliaia 30 2 5" xfId="6906" xr:uid="{00000000-0005-0000-0000-00007A0C0000}"/>
    <cellStyle name="Migliaia 30 2 6" xfId="4984" xr:uid="{00000000-0005-0000-0000-00007B0C0000}"/>
    <cellStyle name="Migliaia 30 3" xfId="1098" xr:uid="{00000000-0005-0000-0000-00007C0C0000}"/>
    <cellStyle name="Migliaia 30 3 2" xfId="1099" xr:uid="{00000000-0005-0000-0000-00007D0C0000}"/>
    <cellStyle name="Migliaia 30 3 2 2" xfId="3827" xr:uid="{00000000-0005-0000-0000-00007E0C0000}"/>
    <cellStyle name="Migliaia 30 3 2 2 2" xfId="5965" xr:uid="{00000000-0005-0000-0000-00007F0C0000}"/>
    <cellStyle name="Migliaia 30 3 2 2 3" xfId="6910" xr:uid="{00000000-0005-0000-0000-0000800C0000}"/>
    <cellStyle name="Migliaia 30 3 2 2 4" xfId="4988" xr:uid="{00000000-0005-0000-0000-0000810C0000}"/>
    <cellStyle name="Migliaia 30 3 2 3" xfId="3828" xr:uid="{00000000-0005-0000-0000-0000820C0000}"/>
    <cellStyle name="Migliaia 30 3 2 4" xfId="5964" xr:uid="{00000000-0005-0000-0000-0000830C0000}"/>
    <cellStyle name="Migliaia 30 3 2 5" xfId="6909" xr:uid="{00000000-0005-0000-0000-0000840C0000}"/>
    <cellStyle name="Migliaia 30 3 2 6" xfId="4987" xr:uid="{00000000-0005-0000-0000-0000850C0000}"/>
    <cellStyle name="Migliaia 30 3 3" xfId="1100" xr:uid="{00000000-0005-0000-0000-0000860C0000}"/>
    <cellStyle name="Migliaia 30 3 3 2" xfId="2429" xr:uid="{00000000-0005-0000-0000-0000870C0000}"/>
    <cellStyle name="Migliaia 30 3 4" xfId="2428" xr:uid="{00000000-0005-0000-0000-0000880C0000}"/>
    <cellStyle name="Migliaia 30 3 5" xfId="3829" xr:uid="{00000000-0005-0000-0000-0000890C0000}"/>
    <cellStyle name="Migliaia 30 3 6" xfId="5963" xr:uid="{00000000-0005-0000-0000-00008A0C0000}"/>
    <cellStyle name="Migliaia 30 3 7" xfId="6908" xr:uid="{00000000-0005-0000-0000-00008B0C0000}"/>
    <cellStyle name="Migliaia 30 3 8" xfId="4986" xr:uid="{00000000-0005-0000-0000-00008C0C0000}"/>
    <cellStyle name="Migliaia 30 4" xfId="1101" xr:uid="{00000000-0005-0000-0000-00008D0C0000}"/>
    <cellStyle name="Migliaia 30 4 2" xfId="1102" xr:uid="{00000000-0005-0000-0000-00008E0C0000}"/>
    <cellStyle name="Migliaia 30 4 2 2" xfId="2431" xr:uid="{00000000-0005-0000-0000-00008F0C0000}"/>
    <cellStyle name="Migliaia 30 4 2 3" xfId="3830" xr:uid="{00000000-0005-0000-0000-0000900C0000}"/>
    <cellStyle name="Migliaia 30 4 2 4" xfId="5967" xr:uid="{00000000-0005-0000-0000-0000910C0000}"/>
    <cellStyle name="Migliaia 30 4 2 5" xfId="6912" xr:uid="{00000000-0005-0000-0000-0000920C0000}"/>
    <cellStyle name="Migliaia 30 4 2 6" xfId="4990" xr:uid="{00000000-0005-0000-0000-0000930C0000}"/>
    <cellStyle name="Migliaia 30 4 3" xfId="2430" xr:uid="{00000000-0005-0000-0000-0000940C0000}"/>
    <cellStyle name="Migliaia 30 4 4" xfId="3831" xr:uid="{00000000-0005-0000-0000-0000950C0000}"/>
    <cellStyle name="Migliaia 30 4 5" xfId="5966" xr:uid="{00000000-0005-0000-0000-0000960C0000}"/>
    <cellStyle name="Migliaia 30 4 6" xfId="6911" xr:uid="{00000000-0005-0000-0000-0000970C0000}"/>
    <cellStyle name="Migliaia 30 4 7" xfId="4989" xr:uid="{00000000-0005-0000-0000-0000980C0000}"/>
    <cellStyle name="Migliaia 30 5" xfId="1103" xr:uid="{00000000-0005-0000-0000-0000990C0000}"/>
    <cellStyle name="Migliaia 30 5 2" xfId="3832" xr:uid="{00000000-0005-0000-0000-00009A0C0000}"/>
    <cellStyle name="Migliaia 30 5 3" xfId="5968" xr:uid="{00000000-0005-0000-0000-00009B0C0000}"/>
    <cellStyle name="Migliaia 30 5 4" xfId="6913" xr:uid="{00000000-0005-0000-0000-00009C0C0000}"/>
    <cellStyle name="Migliaia 30 5 5" xfId="4991" xr:uid="{00000000-0005-0000-0000-00009D0C0000}"/>
    <cellStyle name="Migliaia 30 6" xfId="3833" xr:uid="{00000000-0005-0000-0000-00009E0C0000}"/>
    <cellStyle name="Migliaia 30 7" xfId="5960" xr:uid="{00000000-0005-0000-0000-00009F0C0000}"/>
    <cellStyle name="Migliaia 30 8" xfId="6905" xr:uid="{00000000-0005-0000-0000-0000A00C0000}"/>
    <cellStyle name="Migliaia 30 9" xfId="4983" xr:uid="{00000000-0005-0000-0000-0000A10C0000}"/>
    <cellStyle name="Migliaia 31" xfId="169" xr:uid="{00000000-0005-0000-0000-0000A20C0000}"/>
    <cellStyle name="Migliaia 31 2" xfId="511" xr:uid="{00000000-0005-0000-0000-0000A30C0000}"/>
    <cellStyle name="Migliaia 31 2 2" xfId="2432" xr:uid="{00000000-0005-0000-0000-0000A40C0000}"/>
    <cellStyle name="Migliaia 31 2 2 2" xfId="3834" xr:uid="{00000000-0005-0000-0000-0000A50C0000}"/>
    <cellStyle name="Migliaia 31 2 2 3" xfId="5971" xr:uid="{00000000-0005-0000-0000-0000A60C0000}"/>
    <cellStyle name="Migliaia 31 2 2 4" xfId="6916" xr:uid="{00000000-0005-0000-0000-0000A70C0000}"/>
    <cellStyle name="Migliaia 31 2 2 5" xfId="4994" xr:uid="{00000000-0005-0000-0000-0000A80C0000}"/>
    <cellStyle name="Migliaia 31 2 3" xfId="3835" xr:uid="{00000000-0005-0000-0000-0000A90C0000}"/>
    <cellStyle name="Migliaia 31 2 4" xfId="5970" xr:uid="{00000000-0005-0000-0000-0000AA0C0000}"/>
    <cellStyle name="Migliaia 31 2 5" xfId="6915" xr:uid="{00000000-0005-0000-0000-0000AB0C0000}"/>
    <cellStyle name="Migliaia 31 2 6" xfId="4993" xr:uid="{00000000-0005-0000-0000-0000AC0C0000}"/>
    <cellStyle name="Migliaia 31 3" xfId="1104" xr:uid="{00000000-0005-0000-0000-0000AD0C0000}"/>
    <cellStyle name="Migliaia 31 3 2" xfId="1105" xr:uid="{00000000-0005-0000-0000-0000AE0C0000}"/>
    <cellStyle name="Migliaia 31 3 2 2" xfId="3836" xr:uid="{00000000-0005-0000-0000-0000AF0C0000}"/>
    <cellStyle name="Migliaia 31 3 2 2 2" xfId="5974" xr:uid="{00000000-0005-0000-0000-0000B00C0000}"/>
    <cellStyle name="Migliaia 31 3 2 2 3" xfId="6919" xr:uid="{00000000-0005-0000-0000-0000B10C0000}"/>
    <cellStyle name="Migliaia 31 3 2 2 4" xfId="4997" xr:uid="{00000000-0005-0000-0000-0000B20C0000}"/>
    <cellStyle name="Migliaia 31 3 2 3" xfId="3837" xr:uid="{00000000-0005-0000-0000-0000B30C0000}"/>
    <cellStyle name="Migliaia 31 3 2 4" xfId="5973" xr:uid="{00000000-0005-0000-0000-0000B40C0000}"/>
    <cellStyle name="Migliaia 31 3 2 5" xfId="6918" xr:uid="{00000000-0005-0000-0000-0000B50C0000}"/>
    <cellStyle name="Migliaia 31 3 2 6" xfId="4996" xr:uid="{00000000-0005-0000-0000-0000B60C0000}"/>
    <cellStyle name="Migliaia 31 3 3" xfId="1106" xr:uid="{00000000-0005-0000-0000-0000B70C0000}"/>
    <cellStyle name="Migliaia 31 3 3 2" xfId="2434" xr:uid="{00000000-0005-0000-0000-0000B80C0000}"/>
    <cellStyle name="Migliaia 31 3 4" xfId="2433" xr:uid="{00000000-0005-0000-0000-0000B90C0000}"/>
    <cellStyle name="Migliaia 31 3 5" xfId="3838" xr:uid="{00000000-0005-0000-0000-0000BA0C0000}"/>
    <cellStyle name="Migliaia 31 3 6" xfId="5972" xr:uid="{00000000-0005-0000-0000-0000BB0C0000}"/>
    <cellStyle name="Migliaia 31 3 7" xfId="6917" xr:uid="{00000000-0005-0000-0000-0000BC0C0000}"/>
    <cellStyle name="Migliaia 31 3 8" xfId="4995" xr:uid="{00000000-0005-0000-0000-0000BD0C0000}"/>
    <cellStyle name="Migliaia 31 4" xfId="1107" xr:uid="{00000000-0005-0000-0000-0000BE0C0000}"/>
    <cellStyle name="Migliaia 31 4 2" xfId="1108" xr:uid="{00000000-0005-0000-0000-0000BF0C0000}"/>
    <cellStyle name="Migliaia 31 4 2 2" xfId="2436" xr:uid="{00000000-0005-0000-0000-0000C00C0000}"/>
    <cellStyle name="Migliaia 31 4 2 3" xfId="3839" xr:uid="{00000000-0005-0000-0000-0000C10C0000}"/>
    <cellStyle name="Migliaia 31 4 2 4" xfId="5976" xr:uid="{00000000-0005-0000-0000-0000C20C0000}"/>
    <cellStyle name="Migliaia 31 4 2 5" xfId="6921" xr:uid="{00000000-0005-0000-0000-0000C30C0000}"/>
    <cellStyle name="Migliaia 31 4 2 6" xfId="4999" xr:uid="{00000000-0005-0000-0000-0000C40C0000}"/>
    <cellStyle name="Migliaia 31 4 3" xfId="2435" xr:uid="{00000000-0005-0000-0000-0000C50C0000}"/>
    <cellStyle name="Migliaia 31 4 4" xfId="3840" xr:uid="{00000000-0005-0000-0000-0000C60C0000}"/>
    <cellStyle name="Migliaia 31 4 5" xfId="5975" xr:uid="{00000000-0005-0000-0000-0000C70C0000}"/>
    <cellStyle name="Migliaia 31 4 6" xfId="6920" xr:uid="{00000000-0005-0000-0000-0000C80C0000}"/>
    <cellStyle name="Migliaia 31 4 7" xfId="4998" xr:uid="{00000000-0005-0000-0000-0000C90C0000}"/>
    <cellStyle name="Migliaia 31 5" xfId="1109" xr:uid="{00000000-0005-0000-0000-0000CA0C0000}"/>
    <cellStyle name="Migliaia 31 5 2" xfId="3841" xr:uid="{00000000-0005-0000-0000-0000CB0C0000}"/>
    <cellStyle name="Migliaia 31 5 3" xfId="5977" xr:uid="{00000000-0005-0000-0000-0000CC0C0000}"/>
    <cellStyle name="Migliaia 31 5 4" xfId="6922" xr:uid="{00000000-0005-0000-0000-0000CD0C0000}"/>
    <cellStyle name="Migliaia 31 5 5" xfId="5000" xr:uid="{00000000-0005-0000-0000-0000CE0C0000}"/>
    <cellStyle name="Migliaia 31 6" xfId="3842" xr:uid="{00000000-0005-0000-0000-0000CF0C0000}"/>
    <cellStyle name="Migliaia 31 7" xfId="5969" xr:uid="{00000000-0005-0000-0000-0000D00C0000}"/>
    <cellStyle name="Migliaia 31 8" xfId="6914" xr:uid="{00000000-0005-0000-0000-0000D10C0000}"/>
    <cellStyle name="Migliaia 31 9" xfId="4992" xr:uid="{00000000-0005-0000-0000-0000D20C0000}"/>
    <cellStyle name="Migliaia 32" xfId="170" xr:uid="{00000000-0005-0000-0000-0000D30C0000}"/>
    <cellStyle name="Migliaia 32 2" xfId="512" xr:uid="{00000000-0005-0000-0000-0000D40C0000}"/>
    <cellStyle name="Migliaia 32 2 2" xfId="2437" xr:uid="{00000000-0005-0000-0000-0000D50C0000}"/>
    <cellStyle name="Migliaia 32 2 2 2" xfId="3843" xr:uid="{00000000-0005-0000-0000-0000D60C0000}"/>
    <cellStyle name="Migliaia 32 2 2 3" xfId="5980" xr:uid="{00000000-0005-0000-0000-0000D70C0000}"/>
    <cellStyle name="Migliaia 32 2 2 4" xfId="6925" xr:uid="{00000000-0005-0000-0000-0000D80C0000}"/>
    <cellStyle name="Migliaia 32 2 2 5" xfId="5003" xr:uid="{00000000-0005-0000-0000-0000D90C0000}"/>
    <cellStyle name="Migliaia 32 2 3" xfId="3844" xr:uid="{00000000-0005-0000-0000-0000DA0C0000}"/>
    <cellStyle name="Migliaia 32 2 4" xfId="5979" xr:uid="{00000000-0005-0000-0000-0000DB0C0000}"/>
    <cellStyle name="Migliaia 32 2 5" xfId="6924" xr:uid="{00000000-0005-0000-0000-0000DC0C0000}"/>
    <cellStyle name="Migliaia 32 2 6" xfId="5002" xr:uid="{00000000-0005-0000-0000-0000DD0C0000}"/>
    <cellStyle name="Migliaia 32 3" xfId="1110" xr:uid="{00000000-0005-0000-0000-0000DE0C0000}"/>
    <cellStyle name="Migliaia 32 3 2" xfId="1111" xr:uid="{00000000-0005-0000-0000-0000DF0C0000}"/>
    <cellStyle name="Migliaia 32 3 2 2" xfId="3845" xr:uid="{00000000-0005-0000-0000-0000E00C0000}"/>
    <cellStyle name="Migliaia 32 3 2 2 2" xfId="5983" xr:uid="{00000000-0005-0000-0000-0000E10C0000}"/>
    <cellStyle name="Migliaia 32 3 2 2 3" xfId="6928" xr:uid="{00000000-0005-0000-0000-0000E20C0000}"/>
    <cellStyle name="Migliaia 32 3 2 2 4" xfId="5006" xr:uid="{00000000-0005-0000-0000-0000E30C0000}"/>
    <cellStyle name="Migliaia 32 3 2 3" xfId="3846" xr:uid="{00000000-0005-0000-0000-0000E40C0000}"/>
    <cellStyle name="Migliaia 32 3 2 4" xfId="5982" xr:uid="{00000000-0005-0000-0000-0000E50C0000}"/>
    <cellStyle name="Migliaia 32 3 2 5" xfId="6927" xr:uid="{00000000-0005-0000-0000-0000E60C0000}"/>
    <cellStyle name="Migliaia 32 3 2 6" xfId="5005" xr:uid="{00000000-0005-0000-0000-0000E70C0000}"/>
    <cellStyle name="Migliaia 32 3 3" xfId="1112" xr:uid="{00000000-0005-0000-0000-0000E80C0000}"/>
    <cellStyle name="Migliaia 32 3 3 2" xfId="2439" xr:uid="{00000000-0005-0000-0000-0000E90C0000}"/>
    <cellStyle name="Migliaia 32 3 4" xfId="2438" xr:uid="{00000000-0005-0000-0000-0000EA0C0000}"/>
    <cellStyle name="Migliaia 32 3 5" xfId="3847" xr:uid="{00000000-0005-0000-0000-0000EB0C0000}"/>
    <cellStyle name="Migliaia 32 3 6" xfId="5981" xr:uid="{00000000-0005-0000-0000-0000EC0C0000}"/>
    <cellStyle name="Migliaia 32 3 7" xfId="6926" xr:uid="{00000000-0005-0000-0000-0000ED0C0000}"/>
    <cellStyle name="Migliaia 32 3 8" xfId="5004" xr:uid="{00000000-0005-0000-0000-0000EE0C0000}"/>
    <cellStyle name="Migliaia 32 4" xfId="1113" xr:uid="{00000000-0005-0000-0000-0000EF0C0000}"/>
    <cellStyle name="Migliaia 32 4 2" xfId="1114" xr:uid="{00000000-0005-0000-0000-0000F00C0000}"/>
    <cellStyle name="Migliaia 32 4 2 2" xfId="2441" xr:uid="{00000000-0005-0000-0000-0000F10C0000}"/>
    <cellStyle name="Migliaia 32 4 2 3" xfId="3848" xr:uid="{00000000-0005-0000-0000-0000F20C0000}"/>
    <cellStyle name="Migliaia 32 4 2 4" xfId="5985" xr:uid="{00000000-0005-0000-0000-0000F30C0000}"/>
    <cellStyle name="Migliaia 32 4 2 5" xfId="6930" xr:uid="{00000000-0005-0000-0000-0000F40C0000}"/>
    <cellStyle name="Migliaia 32 4 2 6" xfId="5008" xr:uid="{00000000-0005-0000-0000-0000F50C0000}"/>
    <cellStyle name="Migliaia 32 4 3" xfId="2440" xr:uid="{00000000-0005-0000-0000-0000F60C0000}"/>
    <cellStyle name="Migliaia 32 4 4" xfId="3849" xr:uid="{00000000-0005-0000-0000-0000F70C0000}"/>
    <cellStyle name="Migliaia 32 4 5" xfId="5984" xr:uid="{00000000-0005-0000-0000-0000F80C0000}"/>
    <cellStyle name="Migliaia 32 4 6" xfId="6929" xr:uid="{00000000-0005-0000-0000-0000F90C0000}"/>
    <cellStyle name="Migliaia 32 4 7" xfId="5007" xr:uid="{00000000-0005-0000-0000-0000FA0C0000}"/>
    <cellStyle name="Migliaia 32 5" xfId="1115" xr:uid="{00000000-0005-0000-0000-0000FB0C0000}"/>
    <cellStyle name="Migliaia 32 5 2" xfId="3850" xr:uid="{00000000-0005-0000-0000-0000FC0C0000}"/>
    <cellStyle name="Migliaia 32 5 3" xfId="5986" xr:uid="{00000000-0005-0000-0000-0000FD0C0000}"/>
    <cellStyle name="Migliaia 32 5 4" xfId="6931" xr:uid="{00000000-0005-0000-0000-0000FE0C0000}"/>
    <cellStyle name="Migliaia 32 5 5" xfId="5009" xr:uid="{00000000-0005-0000-0000-0000FF0C0000}"/>
    <cellStyle name="Migliaia 32 6" xfId="3851" xr:uid="{00000000-0005-0000-0000-0000000D0000}"/>
    <cellStyle name="Migliaia 32 7" xfId="5978" xr:uid="{00000000-0005-0000-0000-0000010D0000}"/>
    <cellStyle name="Migliaia 32 8" xfId="6923" xr:uid="{00000000-0005-0000-0000-0000020D0000}"/>
    <cellStyle name="Migliaia 32 9" xfId="5001" xr:uid="{00000000-0005-0000-0000-0000030D0000}"/>
    <cellStyle name="Migliaia 33" xfId="171" xr:uid="{00000000-0005-0000-0000-0000040D0000}"/>
    <cellStyle name="Migliaia 33 2" xfId="513" xr:uid="{00000000-0005-0000-0000-0000050D0000}"/>
    <cellStyle name="Migliaia 33 2 2" xfId="2442" xr:uid="{00000000-0005-0000-0000-0000060D0000}"/>
    <cellStyle name="Migliaia 33 2 2 2" xfId="3852" xr:uid="{00000000-0005-0000-0000-0000070D0000}"/>
    <cellStyle name="Migliaia 33 2 2 3" xfId="5989" xr:uid="{00000000-0005-0000-0000-0000080D0000}"/>
    <cellStyle name="Migliaia 33 2 2 4" xfId="6934" xr:uid="{00000000-0005-0000-0000-0000090D0000}"/>
    <cellStyle name="Migliaia 33 2 2 5" xfId="5012" xr:uid="{00000000-0005-0000-0000-00000A0D0000}"/>
    <cellStyle name="Migliaia 33 2 3" xfId="3853" xr:uid="{00000000-0005-0000-0000-00000B0D0000}"/>
    <cellStyle name="Migliaia 33 2 4" xfId="5988" xr:uid="{00000000-0005-0000-0000-00000C0D0000}"/>
    <cellStyle name="Migliaia 33 2 5" xfId="6933" xr:uid="{00000000-0005-0000-0000-00000D0D0000}"/>
    <cellStyle name="Migliaia 33 2 6" xfId="5011" xr:uid="{00000000-0005-0000-0000-00000E0D0000}"/>
    <cellStyle name="Migliaia 33 3" xfId="1116" xr:uid="{00000000-0005-0000-0000-00000F0D0000}"/>
    <cellStyle name="Migliaia 33 3 2" xfId="1117" xr:uid="{00000000-0005-0000-0000-0000100D0000}"/>
    <cellStyle name="Migliaia 33 3 2 2" xfId="3854" xr:uid="{00000000-0005-0000-0000-0000110D0000}"/>
    <cellStyle name="Migliaia 33 3 2 2 2" xfId="5992" xr:uid="{00000000-0005-0000-0000-0000120D0000}"/>
    <cellStyle name="Migliaia 33 3 2 2 3" xfId="6937" xr:uid="{00000000-0005-0000-0000-0000130D0000}"/>
    <cellStyle name="Migliaia 33 3 2 2 4" xfId="5015" xr:uid="{00000000-0005-0000-0000-0000140D0000}"/>
    <cellStyle name="Migliaia 33 3 2 3" xfId="3855" xr:uid="{00000000-0005-0000-0000-0000150D0000}"/>
    <cellStyle name="Migliaia 33 3 2 4" xfId="5991" xr:uid="{00000000-0005-0000-0000-0000160D0000}"/>
    <cellStyle name="Migliaia 33 3 2 5" xfId="6936" xr:uid="{00000000-0005-0000-0000-0000170D0000}"/>
    <cellStyle name="Migliaia 33 3 2 6" xfId="5014" xr:uid="{00000000-0005-0000-0000-0000180D0000}"/>
    <cellStyle name="Migliaia 33 3 3" xfId="1118" xr:uid="{00000000-0005-0000-0000-0000190D0000}"/>
    <cellStyle name="Migliaia 33 3 3 2" xfId="2444" xr:uid="{00000000-0005-0000-0000-00001A0D0000}"/>
    <cellStyle name="Migliaia 33 3 4" xfId="2443" xr:uid="{00000000-0005-0000-0000-00001B0D0000}"/>
    <cellStyle name="Migliaia 33 3 5" xfId="3856" xr:uid="{00000000-0005-0000-0000-00001C0D0000}"/>
    <cellStyle name="Migliaia 33 3 6" xfId="5990" xr:uid="{00000000-0005-0000-0000-00001D0D0000}"/>
    <cellStyle name="Migliaia 33 3 7" xfId="6935" xr:uid="{00000000-0005-0000-0000-00001E0D0000}"/>
    <cellStyle name="Migliaia 33 3 8" xfId="5013" xr:uid="{00000000-0005-0000-0000-00001F0D0000}"/>
    <cellStyle name="Migliaia 33 4" xfId="1119" xr:uid="{00000000-0005-0000-0000-0000200D0000}"/>
    <cellStyle name="Migliaia 33 4 2" xfId="1120" xr:uid="{00000000-0005-0000-0000-0000210D0000}"/>
    <cellStyle name="Migliaia 33 4 2 2" xfId="2446" xr:uid="{00000000-0005-0000-0000-0000220D0000}"/>
    <cellStyle name="Migliaia 33 4 2 3" xfId="3857" xr:uid="{00000000-0005-0000-0000-0000230D0000}"/>
    <cellStyle name="Migliaia 33 4 2 4" xfId="5994" xr:uid="{00000000-0005-0000-0000-0000240D0000}"/>
    <cellStyle name="Migliaia 33 4 2 5" xfId="6939" xr:uid="{00000000-0005-0000-0000-0000250D0000}"/>
    <cellStyle name="Migliaia 33 4 2 6" xfId="5017" xr:uid="{00000000-0005-0000-0000-0000260D0000}"/>
    <cellStyle name="Migliaia 33 4 3" xfId="2445" xr:uid="{00000000-0005-0000-0000-0000270D0000}"/>
    <cellStyle name="Migliaia 33 4 4" xfId="3858" xr:uid="{00000000-0005-0000-0000-0000280D0000}"/>
    <cellStyle name="Migliaia 33 4 5" xfId="5993" xr:uid="{00000000-0005-0000-0000-0000290D0000}"/>
    <cellStyle name="Migliaia 33 4 6" xfId="6938" xr:uid="{00000000-0005-0000-0000-00002A0D0000}"/>
    <cellStyle name="Migliaia 33 4 7" xfId="5016" xr:uid="{00000000-0005-0000-0000-00002B0D0000}"/>
    <cellStyle name="Migliaia 33 5" xfId="1121" xr:uid="{00000000-0005-0000-0000-00002C0D0000}"/>
    <cellStyle name="Migliaia 33 5 2" xfId="3859" xr:uid="{00000000-0005-0000-0000-00002D0D0000}"/>
    <cellStyle name="Migliaia 33 5 3" xfId="5995" xr:uid="{00000000-0005-0000-0000-00002E0D0000}"/>
    <cellStyle name="Migliaia 33 5 4" xfId="6940" xr:uid="{00000000-0005-0000-0000-00002F0D0000}"/>
    <cellStyle name="Migliaia 33 5 5" xfId="5018" xr:uid="{00000000-0005-0000-0000-0000300D0000}"/>
    <cellStyle name="Migliaia 33 6" xfId="3860" xr:uid="{00000000-0005-0000-0000-0000310D0000}"/>
    <cellStyle name="Migliaia 33 7" xfId="5987" xr:uid="{00000000-0005-0000-0000-0000320D0000}"/>
    <cellStyle name="Migliaia 33 8" xfId="6932" xr:uid="{00000000-0005-0000-0000-0000330D0000}"/>
    <cellStyle name="Migliaia 33 9" xfId="5010" xr:uid="{00000000-0005-0000-0000-0000340D0000}"/>
    <cellStyle name="Migliaia 34" xfId="172" xr:uid="{00000000-0005-0000-0000-0000350D0000}"/>
    <cellStyle name="Migliaia 34 2" xfId="514" xr:uid="{00000000-0005-0000-0000-0000360D0000}"/>
    <cellStyle name="Migliaia 34 2 2" xfId="2447" xr:uid="{00000000-0005-0000-0000-0000370D0000}"/>
    <cellStyle name="Migliaia 34 2 2 2" xfId="3861" xr:uid="{00000000-0005-0000-0000-0000380D0000}"/>
    <cellStyle name="Migliaia 34 2 2 3" xfId="5998" xr:uid="{00000000-0005-0000-0000-0000390D0000}"/>
    <cellStyle name="Migliaia 34 2 2 4" xfId="6943" xr:uid="{00000000-0005-0000-0000-00003A0D0000}"/>
    <cellStyle name="Migliaia 34 2 2 5" xfId="5021" xr:uid="{00000000-0005-0000-0000-00003B0D0000}"/>
    <cellStyle name="Migliaia 34 2 3" xfId="3862" xr:uid="{00000000-0005-0000-0000-00003C0D0000}"/>
    <cellStyle name="Migliaia 34 2 4" xfId="5997" xr:uid="{00000000-0005-0000-0000-00003D0D0000}"/>
    <cellStyle name="Migliaia 34 2 5" xfId="6942" xr:uid="{00000000-0005-0000-0000-00003E0D0000}"/>
    <cellStyle name="Migliaia 34 2 6" xfId="5020" xr:uid="{00000000-0005-0000-0000-00003F0D0000}"/>
    <cellStyle name="Migliaia 34 3" xfId="1122" xr:uid="{00000000-0005-0000-0000-0000400D0000}"/>
    <cellStyle name="Migliaia 34 3 2" xfId="1123" xr:uid="{00000000-0005-0000-0000-0000410D0000}"/>
    <cellStyle name="Migliaia 34 3 2 2" xfId="3863" xr:uid="{00000000-0005-0000-0000-0000420D0000}"/>
    <cellStyle name="Migliaia 34 3 2 2 2" xfId="6001" xr:uid="{00000000-0005-0000-0000-0000430D0000}"/>
    <cellStyle name="Migliaia 34 3 2 2 3" xfId="6946" xr:uid="{00000000-0005-0000-0000-0000440D0000}"/>
    <cellStyle name="Migliaia 34 3 2 2 4" xfId="5024" xr:uid="{00000000-0005-0000-0000-0000450D0000}"/>
    <cellStyle name="Migliaia 34 3 2 3" xfId="3864" xr:uid="{00000000-0005-0000-0000-0000460D0000}"/>
    <cellStyle name="Migliaia 34 3 2 4" xfId="6000" xr:uid="{00000000-0005-0000-0000-0000470D0000}"/>
    <cellStyle name="Migliaia 34 3 2 5" xfId="6945" xr:uid="{00000000-0005-0000-0000-0000480D0000}"/>
    <cellStyle name="Migliaia 34 3 2 6" xfId="5023" xr:uid="{00000000-0005-0000-0000-0000490D0000}"/>
    <cellStyle name="Migliaia 34 3 3" xfId="1124" xr:uid="{00000000-0005-0000-0000-00004A0D0000}"/>
    <cellStyle name="Migliaia 34 3 3 2" xfId="2449" xr:uid="{00000000-0005-0000-0000-00004B0D0000}"/>
    <cellStyle name="Migliaia 34 3 4" xfId="2448" xr:uid="{00000000-0005-0000-0000-00004C0D0000}"/>
    <cellStyle name="Migliaia 34 3 5" xfId="3865" xr:uid="{00000000-0005-0000-0000-00004D0D0000}"/>
    <cellStyle name="Migliaia 34 3 6" xfId="5999" xr:uid="{00000000-0005-0000-0000-00004E0D0000}"/>
    <cellStyle name="Migliaia 34 3 7" xfId="6944" xr:uid="{00000000-0005-0000-0000-00004F0D0000}"/>
    <cellStyle name="Migliaia 34 3 8" xfId="5022" xr:uid="{00000000-0005-0000-0000-0000500D0000}"/>
    <cellStyle name="Migliaia 34 4" xfId="1125" xr:uid="{00000000-0005-0000-0000-0000510D0000}"/>
    <cellStyle name="Migliaia 34 4 2" xfId="1126" xr:uid="{00000000-0005-0000-0000-0000520D0000}"/>
    <cellStyle name="Migliaia 34 4 2 2" xfId="2451" xr:uid="{00000000-0005-0000-0000-0000530D0000}"/>
    <cellStyle name="Migliaia 34 4 2 3" xfId="3866" xr:uid="{00000000-0005-0000-0000-0000540D0000}"/>
    <cellStyle name="Migliaia 34 4 2 4" xfId="6003" xr:uid="{00000000-0005-0000-0000-0000550D0000}"/>
    <cellStyle name="Migliaia 34 4 2 5" xfId="6948" xr:uid="{00000000-0005-0000-0000-0000560D0000}"/>
    <cellStyle name="Migliaia 34 4 2 6" xfId="5026" xr:uid="{00000000-0005-0000-0000-0000570D0000}"/>
    <cellStyle name="Migliaia 34 4 3" xfId="2450" xr:uid="{00000000-0005-0000-0000-0000580D0000}"/>
    <cellStyle name="Migliaia 34 4 4" xfId="3867" xr:uid="{00000000-0005-0000-0000-0000590D0000}"/>
    <cellStyle name="Migliaia 34 4 5" xfId="6002" xr:uid="{00000000-0005-0000-0000-00005A0D0000}"/>
    <cellStyle name="Migliaia 34 4 6" xfId="6947" xr:uid="{00000000-0005-0000-0000-00005B0D0000}"/>
    <cellStyle name="Migliaia 34 4 7" xfId="5025" xr:uid="{00000000-0005-0000-0000-00005C0D0000}"/>
    <cellStyle name="Migliaia 34 5" xfId="1127" xr:uid="{00000000-0005-0000-0000-00005D0D0000}"/>
    <cellStyle name="Migliaia 34 5 2" xfId="3868" xr:uid="{00000000-0005-0000-0000-00005E0D0000}"/>
    <cellStyle name="Migliaia 34 5 3" xfId="6004" xr:uid="{00000000-0005-0000-0000-00005F0D0000}"/>
    <cellStyle name="Migliaia 34 5 4" xfId="6949" xr:uid="{00000000-0005-0000-0000-0000600D0000}"/>
    <cellStyle name="Migliaia 34 5 5" xfId="5027" xr:uid="{00000000-0005-0000-0000-0000610D0000}"/>
    <cellStyle name="Migliaia 34 6" xfId="3869" xr:uid="{00000000-0005-0000-0000-0000620D0000}"/>
    <cellStyle name="Migliaia 34 7" xfId="5996" xr:uid="{00000000-0005-0000-0000-0000630D0000}"/>
    <cellStyle name="Migliaia 34 8" xfId="6941" xr:uid="{00000000-0005-0000-0000-0000640D0000}"/>
    <cellStyle name="Migliaia 34 9" xfId="5019" xr:uid="{00000000-0005-0000-0000-0000650D0000}"/>
    <cellStyle name="Migliaia 35" xfId="173" xr:uid="{00000000-0005-0000-0000-0000660D0000}"/>
    <cellStyle name="Migliaia 35 2" xfId="515" xr:uid="{00000000-0005-0000-0000-0000670D0000}"/>
    <cellStyle name="Migliaia 35 2 2" xfId="2452" xr:uid="{00000000-0005-0000-0000-0000680D0000}"/>
    <cellStyle name="Migliaia 35 2 2 2" xfId="3870" xr:uid="{00000000-0005-0000-0000-0000690D0000}"/>
    <cellStyle name="Migliaia 35 2 2 3" xfId="6007" xr:uid="{00000000-0005-0000-0000-00006A0D0000}"/>
    <cellStyle name="Migliaia 35 2 2 4" xfId="6952" xr:uid="{00000000-0005-0000-0000-00006B0D0000}"/>
    <cellStyle name="Migliaia 35 2 2 5" xfId="5030" xr:uid="{00000000-0005-0000-0000-00006C0D0000}"/>
    <cellStyle name="Migliaia 35 2 3" xfId="3871" xr:uid="{00000000-0005-0000-0000-00006D0D0000}"/>
    <cellStyle name="Migliaia 35 2 4" xfId="6006" xr:uid="{00000000-0005-0000-0000-00006E0D0000}"/>
    <cellStyle name="Migliaia 35 2 5" xfId="6951" xr:uid="{00000000-0005-0000-0000-00006F0D0000}"/>
    <cellStyle name="Migliaia 35 2 6" xfId="5029" xr:uid="{00000000-0005-0000-0000-0000700D0000}"/>
    <cellStyle name="Migliaia 35 3" xfId="1128" xr:uid="{00000000-0005-0000-0000-0000710D0000}"/>
    <cellStyle name="Migliaia 35 3 2" xfId="1129" xr:uid="{00000000-0005-0000-0000-0000720D0000}"/>
    <cellStyle name="Migliaia 35 3 2 2" xfId="3872" xr:uid="{00000000-0005-0000-0000-0000730D0000}"/>
    <cellStyle name="Migliaia 35 3 2 2 2" xfId="6010" xr:uid="{00000000-0005-0000-0000-0000740D0000}"/>
    <cellStyle name="Migliaia 35 3 2 2 3" xfId="6955" xr:uid="{00000000-0005-0000-0000-0000750D0000}"/>
    <cellStyle name="Migliaia 35 3 2 2 4" xfId="5033" xr:uid="{00000000-0005-0000-0000-0000760D0000}"/>
    <cellStyle name="Migliaia 35 3 2 3" xfId="3873" xr:uid="{00000000-0005-0000-0000-0000770D0000}"/>
    <cellStyle name="Migliaia 35 3 2 4" xfId="6009" xr:uid="{00000000-0005-0000-0000-0000780D0000}"/>
    <cellStyle name="Migliaia 35 3 2 5" xfId="6954" xr:uid="{00000000-0005-0000-0000-0000790D0000}"/>
    <cellStyle name="Migliaia 35 3 2 6" xfId="5032" xr:uid="{00000000-0005-0000-0000-00007A0D0000}"/>
    <cellStyle name="Migliaia 35 3 3" xfId="1130" xr:uid="{00000000-0005-0000-0000-00007B0D0000}"/>
    <cellStyle name="Migliaia 35 3 3 2" xfId="2454" xr:uid="{00000000-0005-0000-0000-00007C0D0000}"/>
    <cellStyle name="Migliaia 35 3 4" xfId="2453" xr:uid="{00000000-0005-0000-0000-00007D0D0000}"/>
    <cellStyle name="Migliaia 35 3 5" xfId="3874" xr:uid="{00000000-0005-0000-0000-00007E0D0000}"/>
    <cellStyle name="Migliaia 35 3 6" xfId="6008" xr:uid="{00000000-0005-0000-0000-00007F0D0000}"/>
    <cellStyle name="Migliaia 35 3 7" xfId="6953" xr:uid="{00000000-0005-0000-0000-0000800D0000}"/>
    <cellStyle name="Migliaia 35 3 8" xfId="5031" xr:uid="{00000000-0005-0000-0000-0000810D0000}"/>
    <cellStyle name="Migliaia 35 4" xfId="1131" xr:uid="{00000000-0005-0000-0000-0000820D0000}"/>
    <cellStyle name="Migliaia 35 4 2" xfId="1132" xr:uid="{00000000-0005-0000-0000-0000830D0000}"/>
    <cellStyle name="Migliaia 35 4 2 2" xfId="2456" xr:uid="{00000000-0005-0000-0000-0000840D0000}"/>
    <cellStyle name="Migliaia 35 4 2 3" xfId="3875" xr:uid="{00000000-0005-0000-0000-0000850D0000}"/>
    <cellStyle name="Migliaia 35 4 2 4" xfId="6012" xr:uid="{00000000-0005-0000-0000-0000860D0000}"/>
    <cellStyle name="Migliaia 35 4 2 5" xfId="6957" xr:uid="{00000000-0005-0000-0000-0000870D0000}"/>
    <cellStyle name="Migliaia 35 4 2 6" xfId="5035" xr:uid="{00000000-0005-0000-0000-0000880D0000}"/>
    <cellStyle name="Migliaia 35 4 3" xfId="2455" xr:uid="{00000000-0005-0000-0000-0000890D0000}"/>
    <cellStyle name="Migliaia 35 4 4" xfId="3876" xr:uid="{00000000-0005-0000-0000-00008A0D0000}"/>
    <cellStyle name="Migliaia 35 4 5" xfId="6011" xr:uid="{00000000-0005-0000-0000-00008B0D0000}"/>
    <cellStyle name="Migliaia 35 4 6" xfId="6956" xr:uid="{00000000-0005-0000-0000-00008C0D0000}"/>
    <cellStyle name="Migliaia 35 4 7" xfId="5034" xr:uid="{00000000-0005-0000-0000-00008D0D0000}"/>
    <cellStyle name="Migliaia 35 5" xfId="1133" xr:uid="{00000000-0005-0000-0000-00008E0D0000}"/>
    <cellStyle name="Migliaia 35 5 2" xfId="3877" xr:uid="{00000000-0005-0000-0000-00008F0D0000}"/>
    <cellStyle name="Migliaia 35 5 3" xfId="6013" xr:uid="{00000000-0005-0000-0000-0000900D0000}"/>
    <cellStyle name="Migliaia 35 5 4" xfId="6958" xr:uid="{00000000-0005-0000-0000-0000910D0000}"/>
    <cellStyle name="Migliaia 35 5 5" xfId="5036" xr:uid="{00000000-0005-0000-0000-0000920D0000}"/>
    <cellStyle name="Migliaia 35 6" xfId="3878" xr:uid="{00000000-0005-0000-0000-0000930D0000}"/>
    <cellStyle name="Migliaia 35 7" xfId="6005" xr:uid="{00000000-0005-0000-0000-0000940D0000}"/>
    <cellStyle name="Migliaia 35 8" xfId="6950" xr:uid="{00000000-0005-0000-0000-0000950D0000}"/>
    <cellStyle name="Migliaia 35 9" xfId="5028" xr:uid="{00000000-0005-0000-0000-0000960D0000}"/>
    <cellStyle name="Migliaia 36" xfId="174" xr:uid="{00000000-0005-0000-0000-0000970D0000}"/>
    <cellStyle name="Migliaia 36 2" xfId="516" xr:uid="{00000000-0005-0000-0000-0000980D0000}"/>
    <cellStyle name="Migliaia 36 2 2" xfId="2457" xr:uid="{00000000-0005-0000-0000-0000990D0000}"/>
    <cellStyle name="Migliaia 36 2 2 2" xfId="3879" xr:uid="{00000000-0005-0000-0000-00009A0D0000}"/>
    <cellStyle name="Migliaia 36 2 2 3" xfId="6016" xr:uid="{00000000-0005-0000-0000-00009B0D0000}"/>
    <cellStyle name="Migliaia 36 2 2 4" xfId="6961" xr:uid="{00000000-0005-0000-0000-00009C0D0000}"/>
    <cellStyle name="Migliaia 36 2 2 5" xfId="5039" xr:uid="{00000000-0005-0000-0000-00009D0D0000}"/>
    <cellStyle name="Migliaia 36 2 3" xfId="3880" xr:uid="{00000000-0005-0000-0000-00009E0D0000}"/>
    <cellStyle name="Migliaia 36 2 4" xfId="6015" xr:uid="{00000000-0005-0000-0000-00009F0D0000}"/>
    <cellStyle name="Migliaia 36 2 5" xfId="6960" xr:uid="{00000000-0005-0000-0000-0000A00D0000}"/>
    <cellStyle name="Migliaia 36 2 6" xfId="5038" xr:uid="{00000000-0005-0000-0000-0000A10D0000}"/>
    <cellStyle name="Migliaia 36 3" xfId="1134" xr:uid="{00000000-0005-0000-0000-0000A20D0000}"/>
    <cellStyle name="Migliaia 36 3 2" xfId="1135" xr:uid="{00000000-0005-0000-0000-0000A30D0000}"/>
    <cellStyle name="Migliaia 36 3 2 2" xfId="3881" xr:uid="{00000000-0005-0000-0000-0000A40D0000}"/>
    <cellStyle name="Migliaia 36 3 2 2 2" xfId="6019" xr:uid="{00000000-0005-0000-0000-0000A50D0000}"/>
    <cellStyle name="Migliaia 36 3 2 2 3" xfId="6964" xr:uid="{00000000-0005-0000-0000-0000A60D0000}"/>
    <cellStyle name="Migliaia 36 3 2 2 4" xfId="5042" xr:uid="{00000000-0005-0000-0000-0000A70D0000}"/>
    <cellStyle name="Migliaia 36 3 2 3" xfId="3882" xr:uid="{00000000-0005-0000-0000-0000A80D0000}"/>
    <cellStyle name="Migliaia 36 3 2 4" xfId="6018" xr:uid="{00000000-0005-0000-0000-0000A90D0000}"/>
    <cellStyle name="Migliaia 36 3 2 5" xfId="6963" xr:uid="{00000000-0005-0000-0000-0000AA0D0000}"/>
    <cellStyle name="Migliaia 36 3 2 6" xfId="5041" xr:uid="{00000000-0005-0000-0000-0000AB0D0000}"/>
    <cellStyle name="Migliaia 36 3 3" xfId="1136" xr:uid="{00000000-0005-0000-0000-0000AC0D0000}"/>
    <cellStyle name="Migliaia 36 3 3 2" xfId="2459" xr:uid="{00000000-0005-0000-0000-0000AD0D0000}"/>
    <cellStyle name="Migliaia 36 3 4" xfId="2458" xr:uid="{00000000-0005-0000-0000-0000AE0D0000}"/>
    <cellStyle name="Migliaia 36 3 5" xfId="3883" xr:uid="{00000000-0005-0000-0000-0000AF0D0000}"/>
    <cellStyle name="Migliaia 36 3 6" xfId="6017" xr:uid="{00000000-0005-0000-0000-0000B00D0000}"/>
    <cellStyle name="Migliaia 36 3 7" xfId="6962" xr:uid="{00000000-0005-0000-0000-0000B10D0000}"/>
    <cellStyle name="Migliaia 36 3 8" xfId="5040" xr:uid="{00000000-0005-0000-0000-0000B20D0000}"/>
    <cellStyle name="Migliaia 36 4" xfId="1137" xr:uid="{00000000-0005-0000-0000-0000B30D0000}"/>
    <cellStyle name="Migliaia 36 4 2" xfId="1138" xr:uid="{00000000-0005-0000-0000-0000B40D0000}"/>
    <cellStyle name="Migliaia 36 4 2 2" xfId="2461" xr:uid="{00000000-0005-0000-0000-0000B50D0000}"/>
    <cellStyle name="Migliaia 36 4 2 3" xfId="3884" xr:uid="{00000000-0005-0000-0000-0000B60D0000}"/>
    <cellStyle name="Migliaia 36 4 2 4" xfId="6021" xr:uid="{00000000-0005-0000-0000-0000B70D0000}"/>
    <cellStyle name="Migliaia 36 4 2 5" xfId="6966" xr:uid="{00000000-0005-0000-0000-0000B80D0000}"/>
    <cellStyle name="Migliaia 36 4 2 6" xfId="5044" xr:uid="{00000000-0005-0000-0000-0000B90D0000}"/>
    <cellStyle name="Migliaia 36 4 3" xfId="2460" xr:uid="{00000000-0005-0000-0000-0000BA0D0000}"/>
    <cellStyle name="Migliaia 36 4 4" xfId="3885" xr:uid="{00000000-0005-0000-0000-0000BB0D0000}"/>
    <cellStyle name="Migliaia 36 4 5" xfId="6020" xr:uid="{00000000-0005-0000-0000-0000BC0D0000}"/>
    <cellStyle name="Migliaia 36 4 6" xfId="6965" xr:uid="{00000000-0005-0000-0000-0000BD0D0000}"/>
    <cellStyle name="Migliaia 36 4 7" xfId="5043" xr:uid="{00000000-0005-0000-0000-0000BE0D0000}"/>
    <cellStyle name="Migliaia 36 5" xfId="1139" xr:uid="{00000000-0005-0000-0000-0000BF0D0000}"/>
    <cellStyle name="Migliaia 36 5 2" xfId="3886" xr:uid="{00000000-0005-0000-0000-0000C00D0000}"/>
    <cellStyle name="Migliaia 36 5 3" xfId="6022" xr:uid="{00000000-0005-0000-0000-0000C10D0000}"/>
    <cellStyle name="Migliaia 36 5 4" xfId="6967" xr:uid="{00000000-0005-0000-0000-0000C20D0000}"/>
    <cellStyle name="Migliaia 36 5 5" xfId="5045" xr:uid="{00000000-0005-0000-0000-0000C30D0000}"/>
    <cellStyle name="Migliaia 36 6" xfId="3887" xr:uid="{00000000-0005-0000-0000-0000C40D0000}"/>
    <cellStyle name="Migliaia 36 7" xfId="6014" xr:uid="{00000000-0005-0000-0000-0000C50D0000}"/>
    <cellStyle name="Migliaia 36 8" xfId="6959" xr:uid="{00000000-0005-0000-0000-0000C60D0000}"/>
    <cellStyle name="Migliaia 36 9" xfId="5037" xr:uid="{00000000-0005-0000-0000-0000C70D0000}"/>
    <cellStyle name="Migliaia 37" xfId="175" xr:uid="{00000000-0005-0000-0000-0000C80D0000}"/>
    <cellStyle name="Migliaia 37 2" xfId="517" xr:uid="{00000000-0005-0000-0000-0000C90D0000}"/>
    <cellStyle name="Migliaia 37 2 2" xfId="2462" xr:uid="{00000000-0005-0000-0000-0000CA0D0000}"/>
    <cellStyle name="Migliaia 37 2 2 2" xfId="3888" xr:uid="{00000000-0005-0000-0000-0000CB0D0000}"/>
    <cellStyle name="Migliaia 37 2 2 3" xfId="6025" xr:uid="{00000000-0005-0000-0000-0000CC0D0000}"/>
    <cellStyle name="Migliaia 37 2 2 4" xfId="6970" xr:uid="{00000000-0005-0000-0000-0000CD0D0000}"/>
    <cellStyle name="Migliaia 37 2 2 5" xfId="5048" xr:uid="{00000000-0005-0000-0000-0000CE0D0000}"/>
    <cellStyle name="Migliaia 37 2 3" xfId="3889" xr:uid="{00000000-0005-0000-0000-0000CF0D0000}"/>
    <cellStyle name="Migliaia 37 2 4" xfId="6024" xr:uid="{00000000-0005-0000-0000-0000D00D0000}"/>
    <cellStyle name="Migliaia 37 2 5" xfId="6969" xr:uid="{00000000-0005-0000-0000-0000D10D0000}"/>
    <cellStyle name="Migliaia 37 2 6" xfId="5047" xr:uid="{00000000-0005-0000-0000-0000D20D0000}"/>
    <cellStyle name="Migliaia 37 3" xfId="1140" xr:uid="{00000000-0005-0000-0000-0000D30D0000}"/>
    <cellStyle name="Migliaia 37 3 2" xfId="1141" xr:uid="{00000000-0005-0000-0000-0000D40D0000}"/>
    <cellStyle name="Migliaia 37 3 2 2" xfId="3890" xr:uid="{00000000-0005-0000-0000-0000D50D0000}"/>
    <cellStyle name="Migliaia 37 3 2 2 2" xfId="6028" xr:uid="{00000000-0005-0000-0000-0000D60D0000}"/>
    <cellStyle name="Migliaia 37 3 2 2 3" xfId="6973" xr:uid="{00000000-0005-0000-0000-0000D70D0000}"/>
    <cellStyle name="Migliaia 37 3 2 2 4" xfId="5051" xr:uid="{00000000-0005-0000-0000-0000D80D0000}"/>
    <cellStyle name="Migliaia 37 3 2 3" xfId="3891" xr:uid="{00000000-0005-0000-0000-0000D90D0000}"/>
    <cellStyle name="Migliaia 37 3 2 4" xfId="6027" xr:uid="{00000000-0005-0000-0000-0000DA0D0000}"/>
    <cellStyle name="Migliaia 37 3 2 5" xfId="6972" xr:uid="{00000000-0005-0000-0000-0000DB0D0000}"/>
    <cellStyle name="Migliaia 37 3 2 6" xfId="5050" xr:uid="{00000000-0005-0000-0000-0000DC0D0000}"/>
    <cellStyle name="Migliaia 37 3 3" xfId="1142" xr:uid="{00000000-0005-0000-0000-0000DD0D0000}"/>
    <cellStyle name="Migliaia 37 3 3 2" xfId="2464" xr:uid="{00000000-0005-0000-0000-0000DE0D0000}"/>
    <cellStyle name="Migliaia 37 3 4" xfId="2463" xr:uid="{00000000-0005-0000-0000-0000DF0D0000}"/>
    <cellStyle name="Migliaia 37 3 5" xfId="3892" xr:uid="{00000000-0005-0000-0000-0000E00D0000}"/>
    <cellStyle name="Migliaia 37 3 6" xfId="6026" xr:uid="{00000000-0005-0000-0000-0000E10D0000}"/>
    <cellStyle name="Migliaia 37 3 7" xfId="6971" xr:uid="{00000000-0005-0000-0000-0000E20D0000}"/>
    <cellStyle name="Migliaia 37 3 8" xfId="5049" xr:uid="{00000000-0005-0000-0000-0000E30D0000}"/>
    <cellStyle name="Migliaia 37 4" xfId="1143" xr:uid="{00000000-0005-0000-0000-0000E40D0000}"/>
    <cellStyle name="Migliaia 37 4 2" xfId="1144" xr:uid="{00000000-0005-0000-0000-0000E50D0000}"/>
    <cellStyle name="Migliaia 37 4 2 2" xfId="2466" xr:uid="{00000000-0005-0000-0000-0000E60D0000}"/>
    <cellStyle name="Migliaia 37 4 2 3" xfId="3893" xr:uid="{00000000-0005-0000-0000-0000E70D0000}"/>
    <cellStyle name="Migliaia 37 4 2 4" xfId="6030" xr:uid="{00000000-0005-0000-0000-0000E80D0000}"/>
    <cellStyle name="Migliaia 37 4 2 5" xfId="6975" xr:uid="{00000000-0005-0000-0000-0000E90D0000}"/>
    <cellStyle name="Migliaia 37 4 2 6" xfId="5053" xr:uid="{00000000-0005-0000-0000-0000EA0D0000}"/>
    <cellStyle name="Migliaia 37 4 3" xfId="2465" xr:uid="{00000000-0005-0000-0000-0000EB0D0000}"/>
    <cellStyle name="Migliaia 37 4 4" xfId="3894" xr:uid="{00000000-0005-0000-0000-0000EC0D0000}"/>
    <cellStyle name="Migliaia 37 4 5" xfId="6029" xr:uid="{00000000-0005-0000-0000-0000ED0D0000}"/>
    <cellStyle name="Migliaia 37 4 6" xfId="6974" xr:uid="{00000000-0005-0000-0000-0000EE0D0000}"/>
    <cellStyle name="Migliaia 37 4 7" xfId="5052" xr:uid="{00000000-0005-0000-0000-0000EF0D0000}"/>
    <cellStyle name="Migliaia 37 5" xfId="1145" xr:uid="{00000000-0005-0000-0000-0000F00D0000}"/>
    <cellStyle name="Migliaia 37 5 2" xfId="3895" xr:uid="{00000000-0005-0000-0000-0000F10D0000}"/>
    <cellStyle name="Migliaia 37 5 3" xfId="6031" xr:uid="{00000000-0005-0000-0000-0000F20D0000}"/>
    <cellStyle name="Migliaia 37 5 4" xfId="6976" xr:uid="{00000000-0005-0000-0000-0000F30D0000}"/>
    <cellStyle name="Migliaia 37 5 5" xfId="5054" xr:uid="{00000000-0005-0000-0000-0000F40D0000}"/>
    <cellStyle name="Migliaia 37 6" xfId="3896" xr:uid="{00000000-0005-0000-0000-0000F50D0000}"/>
    <cellStyle name="Migliaia 37 7" xfId="6023" xr:uid="{00000000-0005-0000-0000-0000F60D0000}"/>
    <cellStyle name="Migliaia 37 8" xfId="6968" xr:uid="{00000000-0005-0000-0000-0000F70D0000}"/>
    <cellStyle name="Migliaia 37 9" xfId="5046" xr:uid="{00000000-0005-0000-0000-0000F80D0000}"/>
    <cellStyle name="Migliaia 38" xfId="176" xr:uid="{00000000-0005-0000-0000-0000F90D0000}"/>
    <cellStyle name="Migliaia 38 2" xfId="518" xr:uid="{00000000-0005-0000-0000-0000FA0D0000}"/>
    <cellStyle name="Migliaia 38 2 2" xfId="2467" xr:uid="{00000000-0005-0000-0000-0000FB0D0000}"/>
    <cellStyle name="Migliaia 38 2 2 2" xfId="3897" xr:uid="{00000000-0005-0000-0000-0000FC0D0000}"/>
    <cellStyle name="Migliaia 38 2 2 3" xfId="6034" xr:uid="{00000000-0005-0000-0000-0000FD0D0000}"/>
    <cellStyle name="Migliaia 38 2 2 4" xfId="6979" xr:uid="{00000000-0005-0000-0000-0000FE0D0000}"/>
    <cellStyle name="Migliaia 38 2 2 5" xfId="5057" xr:uid="{00000000-0005-0000-0000-0000FF0D0000}"/>
    <cellStyle name="Migliaia 38 2 3" xfId="3898" xr:uid="{00000000-0005-0000-0000-0000000E0000}"/>
    <cellStyle name="Migliaia 38 2 4" xfId="6033" xr:uid="{00000000-0005-0000-0000-0000010E0000}"/>
    <cellStyle name="Migliaia 38 2 5" xfId="6978" xr:uid="{00000000-0005-0000-0000-0000020E0000}"/>
    <cellStyle name="Migliaia 38 2 6" xfId="5056" xr:uid="{00000000-0005-0000-0000-0000030E0000}"/>
    <cellStyle name="Migliaia 38 3" xfId="1146" xr:uid="{00000000-0005-0000-0000-0000040E0000}"/>
    <cellStyle name="Migliaia 38 3 2" xfId="1147" xr:uid="{00000000-0005-0000-0000-0000050E0000}"/>
    <cellStyle name="Migliaia 38 3 2 2" xfId="3899" xr:uid="{00000000-0005-0000-0000-0000060E0000}"/>
    <cellStyle name="Migliaia 38 3 2 2 2" xfId="6037" xr:uid="{00000000-0005-0000-0000-0000070E0000}"/>
    <cellStyle name="Migliaia 38 3 2 2 3" xfId="6982" xr:uid="{00000000-0005-0000-0000-0000080E0000}"/>
    <cellStyle name="Migliaia 38 3 2 2 4" xfId="5060" xr:uid="{00000000-0005-0000-0000-0000090E0000}"/>
    <cellStyle name="Migliaia 38 3 2 3" xfId="3900" xr:uid="{00000000-0005-0000-0000-00000A0E0000}"/>
    <cellStyle name="Migliaia 38 3 2 4" xfId="6036" xr:uid="{00000000-0005-0000-0000-00000B0E0000}"/>
    <cellStyle name="Migliaia 38 3 2 5" xfId="6981" xr:uid="{00000000-0005-0000-0000-00000C0E0000}"/>
    <cellStyle name="Migliaia 38 3 2 6" xfId="5059" xr:uid="{00000000-0005-0000-0000-00000D0E0000}"/>
    <cellStyle name="Migliaia 38 3 3" xfId="1148" xr:uid="{00000000-0005-0000-0000-00000E0E0000}"/>
    <cellStyle name="Migliaia 38 3 3 2" xfId="2469" xr:uid="{00000000-0005-0000-0000-00000F0E0000}"/>
    <cellStyle name="Migliaia 38 3 4" xfId="2468" xr:uid="{00000000-0005-0000-0000-0000100E0000}"/>
    <cellStyle name="Migliaia 38 3 5" xfId="3901" xr:uid="{00000000-0005-0000-0000-0000110E0000}"/>
    <cellStyle name="Migliaia 38 3 6" xfId="6035" xr:uid="{00000000-0005-0000-0000-0000120E0000}"/>
    <cellStyle name="Migliaia 38 3 7" xfId="6980" xr:uid="{00000000-0005-0000-0000-0000130E0000}"/>
    <cellStyle name="Migliaia 38 3 8" xfId="5058" xr:uid="{00000000-0005-0000-0000-0000140E0000}"/>
    <cellStyle name="Migliaia 38 4" xfId="1149" xr:uid="{00000000-0005-0000-0000-0000150E0000}"/>
    <cellStyle name="Migliaia 38 4 2" xfId="1150" xr:uid="{00000000-0005-0000-0000-0000160E0000}"/>
    <cellStyle name="Migliaia 38 4 2 2" xfId="2471" xr:uid="{00000000-0005-0000-0000-0000170E0000}"/>
    <cellStyle name="Migliaia 38 4 2 3" xfId="3902" xr:uid="{00000000-0005-0000-0000-0000180E0000}"/>
    <cellStyle name="Migliaia 38 4 2 4" xfId="6039" xr:uid="{00000000-0005-0000-0000-0000190E0000}"/>
    <cellStyle name="Migliaia 38 4 2 5" xfId="6984" xr:uid="{00000000-0005-0000-0000-00001A0E0000}"/>
    <cellStyle name="Migliaia 38 4 2 6" xfId="5062" xr:uid="{00000000-0005-0000-0000-00001B0E0000}"/>
    <cellStyle name="Migliaia 38 4 3" xfId="2470" xr:uid="{00000000-0005-0000-0000-00001C0E0000}"/>
    <cellStyle name="Migliaia 38 4 4" xfId="3903" xr:uid="{00000000-0005-0000-0000-00001D0E0000}"/>
    <cellStyle name="Migliaia 38 4 5" xfId="6038" xr:uid="{00000000-0005-0000-0000-00001E0E0000}"/>
    <cellStyle name="Migliaia 38 4 6" xfId="6983" xr:uid="{00000000-0005-0000-0000-00001F0E0000}"/>
    <cellStyle name="Migliaia 38 4 7" xfId="5061" xr:uid="{00000000-0005-0000-0000-0000200E0000}"/>
    <cellStyle name="Migliaia 38 5" xfId="1151" xr:uid="{00000000-0005-0000-0000-0000210E0000}"/>
    <cellStyle name="Migliaia 38 5 2" xfId="3904" xr:uid="{00000000-0005-0000-0000-0000220E0000}"/>
    <cellStyle name="Migliaia 38 5 3" xfId="6040" xr:uid="{00000000-0005-0000-0000-0000230E0000}"/>
    <cellStyle name="Migliaia 38 5 4" xfId="6985" xr:uid="{00000000-0005-0000-0000-0000240E0000}"/>
    <cellStyle name="Migliaia 38 5 5" xfId="5063" xr:uid="{00000000-0005-0000-0000-0000250E0000}"/>
    <cellStyle name="Migliaia 38 6" xfId="3905" xr:uid="{00000000-0005-0000-0000-0000260E0000}"/>
    <cellStyle name="Migliaia 38 7" xfId="6032" xr:uid="{00000000-0005-0000-0000-0000270E0000}"/>
    <cellStyle name="Migliaia 38 8" xfId="6977" xr:uid="{00000000-0005-0000-0000-0000280E0000}"/>
    <cellStyle name="Migliaia 38 9" xfId="5055" xr:uid="{00000000-0005-0000-0000-0000290E0000}"/>
    <cellStyle name="Migliaia 39" xfId="177" xr:uid="{00000000-0005-0000-0000-00002A0E0000}"/>
    <cellStyle name="Migliaia 39 2" xfId="519" xr:uid="{00000000-0005-0000-0000-00002B0E0000}"/>
    <cellStyle name="Migliaia 39 2 2" xfId="2472" xr:uid="{00000000-0005-0000-0000-00002C0E0000}"/>
    <cellStyle name="Migliaia 39 2 2 2" xfId="3906" xr:uid="{00000000-0005-0000-0000-00002D0E0000}"/>
    <cellStyle name="Migliaia 39 2 2 3" xfId="6043" xr:uid="{00000000-0005-0000-0000-00002E0E0000}"/>
    <cellStyle name="Migliaia 39 2 2 4" xfId="6988" xr:uid="{00000000-0005-0000-0000-00002F0E0000}"/>
    <cellStyle name="Migliaia 39 2 2 5" xfId="5066" xr:uid="{00000000-0005-0000-0000-0000300E0000}"/>
    <cellStyle name="Migliaia 39 2 3" xfId="3907" xr:uid="{00000000-0005-0000-0000-0000310E0000}"/>
    <cellStyle name="Migliaia 39 2 4" xfId="6042" xr:uid="{00000000-0005-0000-0000-0000320E0000}"/>
    <cellStyle name="Migliaia 39 2 5" xfId="6987" xr:uid="{00000000-0005-0000-0000-0000330E0000}"/>
    <cellStyle name="Migliaia 39 2 6" xfId="5065" xr:uid="{00000000-0005-0000-0000-0000340E0000}"/>
    <cellStyle name="Migliaia 39 3" xfId="1152" xr:uid="{00000000-0005-0000-0000-0000350E0000}"/>
    <cellStyle name="Migliaia 39 3 2" xfId="1153" xr:uid="{00000000-0005-0000-0000-0000360E0000}"/>
    <cellStyle name="Migliaia 39 3 2 2" xfId="3908" xr:uid="{00000000-0005-0000-0000-0000370E0000}"/>
    <cellStyle name="Migliaia 39 3 2 2 2" xfId="6046" xr:uid="{00000000-0005-0000-0000-0000380E0000}"/>
    <cellStyle name="Migliaia 39 3 2 2 3" xfId="6991" xr:uid="{00000000-0005-0000-0000-0000390E0000}"/>
    <cellStyle name="Migliaia 39 3 2 2 4" xfId="5069" xr:uid="{00000000-0005-0000-0000-00003A0E0000}"/>
    <cellStyle name="Migliaia 39 3 2 3" xfId="3909" xr:uid="{00000000-0005-0000-0000-00003B0E0000}"/>
    <cellStyle name="Migliaia 39 3 2 4" xfId="6045" xr:uid="{00000000-0005-0000-0000-00003C0E0000}"/>
    <cellStyle name="Migliaia 39 3 2 5" xfId="6990" xr:uid="{00000000-0005-0000-0000-00003D0E0000}"/>
    <cellStyle name="Migliaia 39 3 2 6" xfId="5068" xr:uid="{00000000-0005-0000-0000-00003E0E0000}"/>
    <cellStyle name="Migliaia 39 3 3" xfId="1154" xr:uid="{00000000-0005-0000-0000-00003F0E0000}"/>
    <cellStyle name="Migliaia 39 3 3 2" xfId="2474" xr:uid="{00000000-0005-0000-0000-0000400E0000}"/>
    <cellStyle name="Migliaia 39 3 4" xfId="2473" xr:uid="{00000000-0005-0000-0000-0000410E0000}"/>
    <cellStyle name="Migliaia 39 3 5" xfId="3910" xr:uid="{00000000-0005-0000-0000-0000420E0000}"/>
    <cellStyle name="Migliaia 39 3 6" xfId="6044" xr:uid="{00000000-0005-0000-0000-0000430E0000}"/>
    <cellStyle name="Migliaia 39 3 7" xfId="6989" xr:uid="{00000000-0005-0000-0000-0000440E0000}"/>
    <cellStyle name="Migliaia 39 3 8" xfId="5067" xr:uid="{00000000-0005-0000-0000-0000450E0000}"/>
    <cellStyle name="Migliaia 39 4" xfId="1155" xr:uid="{00000000-0005-0000-0000-0000460E0000}"/>
    <cellStyle name="Migliaia 39 4 2" xfId="1156" xr:uid="{00000000-0005-0000-0000-0000470E0000}"/>
    <cellStyle name="Migliaia 39 4 2 2" xfId="2476" xr:uid="{00000000-0005-0000-0000-0000480E0000}"/>
    <cellStyle name="Migliaia 39 4 2 3" xfId="3911" xr:uid="{00000000-0005-0000-0000-0000490E0000}"/>
    <cellStyle name="Migliaia 39 4 2 4" xfId="6048" xr:uid="{00000000-0005-0000-0000-00004A0E0000}"/>
    <cellStyle name="Migliaia 39 4 2 5" xfId="6993" xr:uid="{00000000-0005-0000-0000-00004B0E0000}"/>
    <cellStyle name="Migliaia 39 4 2 6" xfId="5071" xr:uid="{00000000-0005-0000-0000-00004C0E0000}"/>
    <cellStyle name="Migliaia 39 4 3" xfId="2475" xr:uid="{00000000-0005-0000-0000-00004D0E0000}"/>
    <cellStyle name="Migliaia 39 4 4" xfId="3912" xr:uid="{00000000-0005-0000-0000-00004E0E0000}"/>
    <cellStyle name="Migliaia 39 4 5" xfId="6047" xr:uid="{00000000-0005-0000-0000-00004F0E0000}"/>
    <cellStyle name="Migliaia 39 4 6" xfId="6992" xr:uid="{00000000-0005-0000-0000-0000500E0000}"/>
    <cellStyle name="Migliaia 39 4 7" xfId="5070" xr:uid="{00000000-0005-0000-0000-0000510E0000}"/>
    <cellStyle name="Migliaia 39 5" xfId="1157" xr:uid="{00000000-0005-0000-0000-0000520E0000}"/>
    <cellStyle name="Migliaia 39 5 2" xfId="3913" xr:uid="{00000000-0005-0000-0000-0000530E0000}"/>
    <cellStyle name="Migliaia 39 5 3" xfId="6049" xr:uid="{00000000-0005-0000-0000-0000540E0000}"/>
    <cellStyle name="Migliaia 39 5 4" xfId="6994" xr:uid="{00000000-0005-0000-0000-0000550E0000}"/>
    <cellStyle name="Migliaia 39 5 5" xfId="5072" xr:uid="{00000000-0005-0000-0000-0000560E0000}"/>
    <cellStyle name="Migliaia 39 6" xfId="3914" xr:uid="{00000000-0005-0000-0000-0000570E0000}"/>
    <cellStyle name="Migliaia 39 7" xfId="6041" xr:uid="{00000000-0005-0000-0000-0000580E0000}"/>
    <cellStyle name="Migliaia 39 8" xfId="6986" xr:uid="{00000000-0005-0000-0000-0000590E0000}"/>
    <cellStyle name="Migliaia 39 9" xfId="5064" xr:uid="{00000000-0005-0000-0000-00005A0E0000}"/>
    <cellStyle name="Migliaia 4" xfId="178" xr:uid="{00000000-0005-0000-0000-00005B0E0000}"/>
    <cellStyle name="Migliaia 4 2" xfId="520" xr:uid="{00000000-0005-0000-0000-00005C0E0000}"/>
    <cellStyle name="Migliaia 4 2 2" xfId="2477" xr:uid="{00000000-0005-0000-0000-00005D0E0000}"/>
    <cellStyle name="Migliaia 4 2 2 2" xfId="3915" xr:uid="{00000000-0005-0000-0000-00005E0E0000}"/>
    <cellStyle name="Migliaia 4 2 2 3" xfId="6052" xr:uid="{00000000-0005-0000-0000-00005F0E0000}"/>
    <cellStyle name="Migliaia 4 2 2 4" xfId="6997" xr:uid="{00000000-0005-0000-0000-0000600E0000}"/>
    <cellStyle name="Migliaia 4 2 2 5" xfId="5075" xr:uid="{00000000-0005-0000-0000-0000610E0000}"/>
    <cellStyle name="Migliaia 4 2 3" xfId="3916" xr:uid="{00000000-0005-0000-0000-0000620E0000}"/>
    <cellStyle name="Migliaia 4 2 4" xfId="6051" xr:uid="{00000000-0005-0000-0000-0000630E0000}"/>
    <cellStyle name="Migliaia 4 2 5" xfId="6996" xr:uid="{00000000-0005-0000-0000-0000640E0000}"/>
    <cellStyle name="Migliaia 4 2 6" xfId="5074" xr:uid="{00000000-0005-0000-0000-0000650E0000}"/>
    <cellStyle name="Migliaia 4 3" xfId="1158" xr:uid="{00000000-0005-0000-0000-0000660E0000}"/>
    <cellStyle name="Migliaia 4 3 2" xfId="1159" xr:uid="{00000000-0005-0000-0000-0000670E0000}"/>
    <cellStyle name="Migliaia 4 3 2 2" xfId="3917" xr:uid="{00000000-0005-0000-0000-0000680E0000}"/>
    <cellStyle name="Migliaia 4 3 2 2 2" xfId="6055" xr:uid="{00000000-0005-0000-0000-0000690E0000}"/>
    <cellStyle name="Migliaia 4 3 2 2 3" xfId="7000" xr:uid="{00000000-0005-0000-0000-00006A0E0000}"/>
    <cellStyle name="Migliaia 4 3 2 2 4" xfId="5078" xr:uid="{00000000-0005-0000-0000-00006B0E0000}"/>
    <cellStyle name="Migliaia 4 3 2 3" xfId="3918" xr:uid="{00000000-0005-0000-0000-00006C0E0000}"/>
    <cellStyle name="Migliaia 4 3 2 4" xfId="6054" xr:uid="{00000000-0005-0000-0000-00006D0E0000}"/>
    <cellStyle name="Migliaia 4 3 2 5" xfId="6999" xr:uid="{00000000-0005-0000-0000-00006E0E0000}"/>
    <cellStyle name="Migliaia 4 3 2 6" xfId="5077" xr:uid="{00000000-0005-0000-0000-00006F0E0000}"/>
    <cellStyle name="Migliaia 4 3 3" xfId="1160" xr:uid="{00000000-0005-0000-0000-0000700E0000}"/>
    <cellStyle name="Migliaia 4 3 3 2" xfId="2479" xr:uid="{00000000-0005-0000-0000-0000710E0000}"/>
    <cellStyle name="Migliaia 4 3 4" xfId="2478" xr:uid="{00000000-0005-0000-0000-0000720E0000}"/>
    <cellStyle name="Migliaia 4 3 5" xfId="3919" xr:uid="{00000000-0005-0000-0000-0000730E0000}"/>
    <cellStyle name="Migliaia 4 3 6" xfId="6053" xr:uid="{00000000-0005-0000-0000-0000740E0000}"/>
    <cellStyle name="Migliaia 4 3 7" xfId="6998" xr:uid="{00000000-0005-0000-0000-0000750E0000}"/>
    <cellStyle name="Migliaia 4 3 8" xfId="5076" xr:uid="{00000000-0005-0000-0000-0000760E0000}"/>
    <cellStyle name="Migliaia 4 4" xfId="1161" xr:uid="{00000000-0005-0000-0000-0000770E0000}"/>
    <cellStyle name="Migliaia 4 4 2" xfId="1162" xr:uid="{00000000-0005-0000-0000-0000780E0000}"/>
    <cellStyle name="Migliaia 4 4 2 2" xfId="2481" xr:uid="{00000000-0005-0000-0000-0000790E0000}"/>
    <cellStyle name="Migliaia 4 4 2 3" xfId="3920" xr:uid="{00000000-0005-0000-0000-00007A0E0000}"/>
    <cellStyle name="Migliaia 4 4 2 4" xfId="6057" xr:uid="{00000000-0005-0000-0000-00007B0E0000}"/>
    <cellStyle name="Migliaia 4 4 2 5" xfId="7002" xr:uid="{00000000-0005-0000-0000-00007C0E0000}"/>
    <cellStyle name="Migliaia 4 4 2 6" xfId="5080" xr:uid="{00000000-0005-0000-0000-00007D0E0000}"/>
    <cellStyle name="Migliaia 4 4 3" xfId="2480" xr:uid="{00000000-0005-0000-0000-00007E0E0000}"/>
    <cellStyle name="Migliaia 4 4 4" xfId="3921" xr:uid="{00000000-0005-0000-0000-00007F0E0000}"/>
    <cellStyle name="Migliaia 4 4 5" xfId="6056" xr:uid="{00000000-0005-0000-0000-0000800E0000}"/>
    <cellStyle name="Migliaia 4 4 6" xfId="7001" xr:uid="{00000000-0005-0000-0000-0000810E0000}"/>
    <cellStyle name="Migliaia 4 4 7" xfId="5079" xr:uid="{00000000-0005-0000-0000-0000820E0000}"/>
    <cellStyle name="Migliaia 4 5" xfId="1163" xr:uid="{00000000-0005-0000-0000-0000830E0000}"/>
    <cellStyle name="Migliaia 4 5 2" xfId="3922" xr:uid="{00000000-0005-0000-0000-0000840E0000}"/>
    <cellStyle name="Migliaia 4 5 3" xfId="6058" xr:uid="{00000000-0005-0000-0000-0000850E0000}"/>
    <cellStyle name="Migliaia 4 5 4" xfId="7003" xr:uid="{00000000-0005-0000-0000-0000860E0000}"/>
    <cellStyle name="Migliaia 4 5 5" xfId="5081" xr:uid="{00000000-0005-0000-0000-0000870E0000}"/>
    <cellStyle name="Migliaia 4 6" xfId="3923" xr:uid="{00000000-0005-0000-0000-0000880E0000}"/>
    <cellStyle name="Migliaia 4 7" xfId="6050" xr:uid="{00000000-0005-0000-0000-0000890E0000}"/>
    <cellStyle name="Migliaia 4 8" xfId="6995" xr:uid="{00000000-0005-0000-0000-00008A0E0000}"/>
    <cellStyle name="Migliaia 4 9" xfId="5073" xr:uid="{00000000-0005-0000-0000-00008B0E0000}"/>
    <cellStyle name="Migliaia 40" xfId="179" xr:uid="{00000000-0005-0000-0000-00008C0E0000}"/>
    <cellStyle name="Migliaia 40 2" xfId="521" xr:uid="{00000000-0005-0000-0000-00008D0E0000}"/>
    <cellStyle name="Migliaia 40 2 2" xfId="2482" xr:uid="{00000000-0005-0000-0000-00008E0E0000}"/>
    <cellStyle name="Migliaia 40 2 2 2" xfId="3924" xr:uid="{00000000-0005-0000-0000-00008F0E0000}"/>
    <cellStyle name="Migliaia 40 2 2 3" xfId="6061" xr:uid="{00000000-0005-0000-0000-0000900E0000}"/>
    <cellStyle name="Migliaia 40 2 2 4" xfId="7006" xr:uid="{00000000-0005-0000-0000-0000910E0000}"/>
    <cellStyle name="Migliaia 40 2 2 5" xfId="5084" xr:uid="{00000000-0005-0000-0000-0000920E0000}"/>
    <cellStyle name="Migliaia 40 2 3" xfId="3925" xr:uid="{00000000-0005-0000-0000-0000930E0000}"/>
    <cellStyle name="Migliaia 40 2 4" xfId="6060" xr:uid="{00000000-0005-0000-0000-0000940E0000}"/>
    <cellStyle name="Migliaia 40 2 5" xfId="7005" xr:uid="{00000000-0005-0000-0000-0000950E0000}"/>
    <cellStyle name="Migliaia 40 2 6" xfId="5083" xr:uid="{00000000-0005-0000-0000-0000960E0000}"/>
    <cellStyle name="Migliaia 40 3" xfId="1164" xr:uid="{00000000-0005-0000-0000-0000970E0000}"/>
    <cellStyle name="Migliaia 40 3 2" xfId="1165" xr:uid="{00000000-0005-0000-0000-0000980E0000}"/>
    <cellStyle name="Migliaia 40 3 2 2" xfId="3926" xr:uid="{00000000-0005-0000-0000-0000990E0000}"/>
    <cellStyle name="Migliaia 40 3 2 2 2" xfId="6064" xr:uid="{00000000-0005-0000-0000-00009A0E0000}"/>
    <cellStyle name="Migliaia 40 3 2 2 3" xfId="7009" xr:uid="{00000000-0005-0000-0000-00009B0E0000}"/>
    <cellStyle name="Migliaia 40 3 2 2 4" xfId="5087" xr:uid="{00000000-0005-0000-0000-00009C0E0000}"/>
    <cellStyle name="Migliaia 40 3 2 3" xfId="3927" xr:uid="{00000000-0005-0000-0000-00009D0E0000}"/>
    <cellStyle name="Migliaia 40 3 2 4" xfId="6063" xr:uid="{00000000-0005-0000-0000-00009E0E0000}"/>
    <cellStyle name="Migliaia 40 3 2 5" xfId="7008" xr:uid="{00000000-0005-0000-0000-00009F0E0000}"/>
    <cellStyle name="Migliaia 40 3 2 6" xfId="5086" xr:uid="{00000000-0005-0000-0000-0000A00E0000}"/>
    <cellStyle name="Migliaia 40 3 3" xfId="1166" xr:uid="{00000000-0005-0000-0000-0000A10E0000}"/>
    <cellStyle name="Migliaia 40 3 3 2" xfId="2484" xr:uid="{00000000-0005-0000-0000-0000A20E0000}"/>
    <cellStyle name="Migliaia 40 3 4" xfId="2483" xr:uid="{00000000-0005-0000-0000-0000A30E0000}"/>
    <cellStyle name="Migliaia 40 3 5" xfId="3928" xr:uid="{00000000-0005-0000-0000-0000A40E0000}"/>
    <cellStyle name="Migliaia 40 3 6" xfId="6062" xr:uid="{00000000-0005-0000-0000-0000A50E0000}"/>
    <cellStyle name="Migliaia 40 3 7" xfId="7007" xr:uid="{00000000-0005-0000-0000-0000A60E0000}"/>
    <cellStyle name="Migliaia 40 3 8" xfId="5085" xr:uid="{00000000-0005-0000-0000-0000A70E0000}"/>
    <cellStyle name="Migliaia 40 4" xfId="1167" xr:uid="{00000000-0005-0000-0000-0000A80E0000}"/>
    <cellStyle name="Migliaia 40 4 2" xfId="1168" xr:uid="{00000000-0005-0000-0000-0000A90E0000}"/>
    <cellStyle name="Migliaia 40 4 2 2" xfId="2486" xr:uid="{00000000-0005-0000-0000-0000AA0E0000}"/>
    <cellStyle name="Migliaia 40 4 2 3" xfId="3929" xr:uid="{00000000-0005-0000-0000-0000AB0E0000}"/>
    <cellStyle name="Migliaia 40 4 2 4" xfId="6066" xr:uid="{00000000-0005-0000-0000-0000AC0E0000}"/>
    <cellStyle name="Migliaia 40 4 2 5" xfId="7011" xr:uid="{00000000-0005-0000-0000-0000AD0E0000}"/>
    <cellStyle name="Migliaia 40 4 2 6" xfId="5089" xr:uid="{00000000-0005-0000-0000-0000AE0E0000}"/>
    <cellStyle name="Migliaia 40 4 3" xfId="2485" xr:uid="{00000000-0005-0000-0000-0000AF0E0000}"/>
    <cellStyle name="Migliaia 40 4 4" xfId="3930" xr:uid="{00000000-0005-0000-0000-0000B00E0000}"/>
    <cellStyle name="Migliaia 40 4 5" xfId="6065" xr:uid="{00000000-0005-0000-0000-0000B10E0000}"/>
    <cellStyle name="Migliaia 40 4 6" xfId="7010" xr:uid="{00000000-0005-0000-0000-0000B20E0000}"/>
    <cellStyle name="Migliaia 40 4 7" xfId="5088" xr:uid="{00000000-0005-0000-0000-0000B30E0000}"/>
    <cellStyle name="Migliaia 40 5" xfId="1169" xr:uid="{00000000-0005-0000-0000-0000B40E0000}"/>
    <cellStyle name="Migliaia 40 5 2" xfId="3931" xr:uid="{00000000-0005-0000-0000-0000B50E0000}"/>
    <cellStyle name="Migliaia 40 5 3" xfId="6067" xr:uid="{00000000-0005-0000-0000-0000B60E0000}"/>
    <cellStyle name="Migliaia 40 5 4" xfId="7012" xr:uid="{00000000-0005-0000-0000-0000B70E0000}"/>
    <cellStyle name="Migliaia 40 5 5" xfId="5090" xr:uid="{00000000-0005-0000-0000-0000B80E0000}"/>
    <cellStyle name="Migliaia 40 6" xfId="3932" xr:uid="{00000000-0005-0000-0000-0000B90E0000}"/>
    <cellStyle name="Migliaia 40 7" xfId="6059" xr:uid="{00000000-0005-0000-0000-0000BA0E0000}"/>
    <cellStyle name="Migliaia 40 8" xfId="7004" xr:uid="{00000000-0005-0000-0000-0000BB0E0000}"/>
    <cellStyle name="Migliaia 40 9" xfId="5082" xr:uid="{00000000-0005-0000-0000-0000BC0E0000}"/>
    <cellStyle name="Migliaia 41" xfId="180" xr:uid="{00000000-0005-0000-0000-0000BD0E0000}"/>
    <cellStyle name="Migliaia 41 2" xfId="522" xr:uid="{00000000-0005-0000-0000-0000BE0E0000}"/>
    <cellStyle name="Migliaia 41 2 2" xfId="2487" xr:uid="{00000000-0005-0000-0000-0000BF0E0000}"/>
    <cellStyle name="Migliaia 41 2 2 2" xfId="3933" xr:uid="{00000000-0005-0000-0000-0000C00E0000}"/>
    <cellStyle name="Migliaia 41 2 2 3" xfId="6070" xr:uid="{00000000-0005-0000-0000-0000C10E0000}"/>
    <cellStyle name="Migliaia 41 2 2 4" xfId="7015" xr:uid="{00000000-0005-0000-0000-0000C20E0000}"/>
    <cellStyle name="Migliaia 41 2 2 5" xfId="5093" xr:uid="{00000000-0005-0000-0000-0000C30E0000}"/>
    <cellStyle name="Migliaia 41 2 3" xfId="3934" xr:uid="{00000000-0005-0000-0000-0000C40E0000}"/>
    <cellStyle name="Migliaia 41 2 4" xfId="6069" xr:uid="{00000000-0005-0000-0000-0000C50E0000}"/>
    <cellStyle name="Migliaia 41 2 5" xfId="7014" xr:uid="{00000000-0005-0000-0000-0000C60E0000}"/>
    <cellStyle name="Migliaia 41 2 6" xfId="5092" xr:uid="{00000000-0005-0000-0000-0000C70E0000}"/>
    <cellStyle name="Migliaia 41 3" xfId="1170" xr:uid="{00000000-0005-0000-0000-0000C80E0000}"/>
    <cellStyle name="Migliaia 41 3 2" xfId="1171" xr:uid="{00000000-0005-0000-0000-0000C90E0000}"/>
    <cellStyle name="Migliaia 41 3 2 2" xfId="3935" xr:uid="{00000000-0005-0000-0000-0000CA0E0000}"/>
    <cellStyle name="Migliaia 41 3 2 2 2" xfId="6073" xr:uid="{00000000-0005-0000-0000-0000CB0E0000}"/>
    <cellStyle name="Migliaia 41 3 2 2 3" xfId="7018" xr:uid="{00000000-0005-0000-0000-0000CC0E0000}"/>
    <cellStyle name="Migliaia 41 3 2 2 4" xfId="5096" xr:uid="{00000000-0005-0000-0000-0000CD0E0000}"/>
    <cellStyle name="Migliaia 41 3 2 3" xfId="3936" xr:uid="{00000000-0005-0000-0000-0000CE0E0000}"/>
    <cellStyle name="Migliaia 41 3 2 4" xfId="6072" xr:uid="{00000000-0005-0000-0000-0000CF0E0000}"/>
    <cellStyle name="Migliaia 41 3 2 5" xfId="7017" xr:uid="{00000000-0005-0000-0000-0000D00E0000}"/>
    <cellStyle name="Migliaia 41 3 2 6" xfId="5095" xr:uid="{00000000-0005-0000-0000-0000D10E0000}"/>
    <cellStyle name="Migliaia 41 3 3" xfId="1172" xr:uid="{00000000-0005-0000-0000-0000D20E0000}"/>
    <cellStyle name="Migliaia 41 3 3 2" xfId="2489" xr:uid="{00000000-0005-0000-0000-0000D30E0000}"/>
    <cellStyle name="Migliaia 41 3 4" xfId="2488" xr:uid="{00000000-0005-0000-0000-0000D40E0000}"/>
    <cellStyle name="Migliaia 41 3 5" xfId="3937" xr:uid="{00000000-0005-0000-0000-0000D50E0000}"/>
    <cellStyle name="Migliaia 41 3 6" xfId="6071" xr:uid="{00000000-0005-0000-0000-0000D60E0000}"/>
    <cellStyle name="Migliaia 41 3 7" xfId="7016" xr:uid="{00000000-0005-0000-0000-0000D70E0000}"/>
    <cellStyle name="Migliaia 41 3 8" xfId="5094" xr:uid="{00000000-0005-0000-0000-0000D80E0000}"/>
    <cellStyle name="Migliaia 41 4" xfId="1173" xr:uid="{00000000-0005-0000-0000-0000D90E0000}"/>
    <cellStyle name="Migliaia 41 4 2" xfId="1174" xr:uid="{00000000-0005-0000-0000-0000DA0E0000}"/>
    <cellStyle name="Migliaia 41 4 2 2" xfId="2491" xr:uid="{00000000-0005-0000-0000-0000DB0E0000}"/>
    <cellStyle name="Migliaia 41 4 2 3" xfId="3938" xr:uid="{00000000-0005-0000-0000-0000DC0E0000}"/>
    <cellStyle name="Migliaia 41 4 2 4" xfId="6075" xr:uid="{00000000-0005-0000-0000-0000DD0E0000}"/>
    <cellStyle name="Migliaia 41 4 2 5" xfId="7020" xr:uid="{00000000-0005-0000-0000-0000DE0E0000}"/>
    <cellStyle name="Migliaia 41 4 2 6" xfId="5098" xr:uid="{00000000-0005-0000-0000-0000DF0E0000}"/>
    <cellStyle name="Migliaia 41 4 3" xfId="2490" xr:uid="{00000000-0005-0000-0000-0000E00E0000}"/>
    <cellStyle name="Migliaia 41 4 4" xfId="3939" xr:uid="{00000000-0005-0000-0000-0000E10E0000}"/>
    <cellStyle name="Migliaia 41 4 5" xfId="6074" xr:uid="{00000000-0005-0000-0000-0000E20E0000}"/>
    <cellStyle name="Migliaia 41 4 6" xfId="7019" xr:uid="{00000000-0005-0000-0000-0000E30E0000}"/>
    <cellStyle name="Migliaia 41 4 7" xfId="5097" xr:uid="{00000000-0005-0000-0000-0000E40E0000}"/>
    <cellStyle name="Migliaia 41 5" xfId="1175" xr:uid="{00000000-0005-0000-0000-0000E50E0000}"/>
    <cellStyle name="Migliaia 41 5 2" xfId="3940" xr:uid="{00000000-0005-0000-0000-0000E60E0000}"/>
    <cellStyle name="Migliaia 41 5 3" xfId="6076" xr:uid="{00000000-0005-0000-0000-0000E70E0000}"/>
    <cellStyle name="Migliaia 41 5 4" xfId="7021" xr:uid="{00000000-0005-0000-0000-0000E80E0000}"/>
    <cellStyle name="Migliaia 41 5 5" xfId="5099" xr:uid="{00000000-0005-0000-0000-0000E90E0000}"/>
    <cellStyle name="Migliaia 41 6" xfId="3941" xr:uid="{00000000-0005-0000-0000-0000EA0E0000}"/>
    <cellStyle name="Migliaia 41 7" xfId="6068" xr:uid="{00000000-0005-0000-0000-0000EB0E0000}"/>
    <cellStyle name="Migliaia 41 8" xfId="7013" xr:uid="{00000000-0005-0000-0000-0000EC0E0000}"/>
    <cellStyle name="Migliaia 41 9" xfId="5091" xr:uid="{00000000-0005-0000-0000-0000ED0E0000}"/>
    <cellStyle name="Migliaia 42" xfId="181" xr:uid="{00000000-0005-0000-0000-0000EE0E0000}"/>
    <cellStyle name="Migliaia 42 2" xfId="523" xr:uid="{00000000-0005-0000-0000-0000EF0E0000}"/>
    <cellStyle name="Migliaia 42 2 2" xfId="2492" xr:uid="{00000000-0005-0000-0000-0000F00E0000}"/>
    <cellStyle name="Migliaia 42 2 2 2" xfId="3942" xr:uid="{00000000-0005-0000-0000-0000F10E0000}"/>
    <cellStyle name="Migliaia 42 2 2 3" xfId="6079" xr:uid="{00000000-0005-0000-0000-0000F20E0000}"/>
    <cellStyle name="Migliaia 42 2 2 4" xfId="7024" xr:uid="{00000000-0005-0000-0000-0000F30E0000}"/>
    <cellStyle name="Migliaia 42 2 2 5" xfId="5102" xr:uid="{00000000-0005-0000-0000-0000F40E0000}"/>
    <cellStyle name="Migliaia 42 2 3" xfId="3943" xr:uid="{00000000-0005-0000-0000-0000F50E0000}"/>
    <cellStyle name="Migliaia 42 2 4" xfId="6078" xr:uid="{00000000-0005-0000-0000-0000F60E0000}"/>
    <cellStyle name="Migliaia 42 2 5" xfId="7023" xr:uid="{00000000-0005-0000-0000-0000F70E0000}"/>
    <cellStyle name="Migliaia 42 2 6" xfId="5101" xr:uid="{00000000-0005-0000-0000-0000F80E0000}"/>
    <cellStyle name="Migliaia 42 3" xfId="1176" xr:uid="{00000000-0005-0000-0000-0000F90E0000}"/>
    <cellStyle name="Migliaia 42 3 2" xfId="1177" xr:uid="{00000000-0005-0000-0000-0000FA0E0000}"/>
    <cellStyle name="Migliaia 42 3 2 2" xfId="3944" xr:uid="{00000000-0005-0000-0000-0000FB0E0000}"/>
    <cellStyle name="Migliaia 42 3 2 2 2" xfId="6082" xr:uid="{00000000-0005-0000-0000-0000FC0E0000}"/>
    <cellStyle name="Migliaia 42 3 2 2 3" xfId="7027" xr:uid="{00000000-0005-0000-0000-0000FD0E0000}"/>
    <cellStyle name="Migliaia 42 3 2 2 4" xfId="5105" xr:uid="{00000000-0005-0000-0000-0000FE0E0000}"/>
    <cellStyle name="Migliaia 42 3 2 3" xfId="3945" xr:uid="{00000000-0005-0000-0000-0000FF0E0000}"/>
    <cellStyle name="Migliaia 42 3 2 4" xfId="6081" xr:uid="{00000000-0005-0000-0000-0000000F0000}"/>
    <cellStyle name="Migliaia 42 3 2 5" xfId="7026" xr:uid="{00000000-0005-0000-0000-0000010F0000}"/>
    <cellStyle name="Migliaia 42 3 2 6" xfId="5104" xr:uid="{00000000-0005-0000-0000-0000020F0000}"/>
    <cellStyle name="Migliaia 42 3 3" xfId="1178" xr:uid="{00000000-0005-0000-0000-0000030F0000}"/>
    <cellStyle name="Migliaia 42 3 3 2" xfId="2494" xr:uid="{00000000-0005-0000-0000-0000040F0000}"/>
    <cellStyle name="Migliaia 42 3 4" xfId="2493" xr:uid="{00000000-0005-0000-0000-0000050F0000}"/>
    <cellStyle name="Migliaia 42 3 5" xfId="3946" xr:uid="{00000000-0005-0000-0000-0000060F0000}"/>
    <cellStyle name="Migliaia 42 3 6" xfId="6080" xr:uid="{00000000-0005-0000-0000-0000070F0000}"/>
    <cellStyle name="Migliaia 42 3 7" xfId="7025" xr:uid="{00000000-0005-0000-0000-0000080F0000}"/>
    <cellStyle name="Migliaia 42 3 8" xfId="5103" xr:uid="{00000000-0005-0000-0000-0000090F0000}"/>
    <cellStyle name="Migliaia 42 4" xfId="1179" xr:uid="{00000000-0005-0000-0000-00000A0F0000}"/>
    <cellStyle name="Migliaia 42 4 2" xfId="1180" xr:uid="{00000000-0005-0000-0000-00000B0F0000}"/>
    <cellStyle name="Migliaia 42 4 2 2" xfId="2496" xr:uid="{00000000-0005-0000-0000-00000C0F0000}"/>
    <cellStyle name="Migliaia 42 4 2 3" xfId="3947" xr:uid="{00000000-0005-0000-0000-00000D0F0000}"/>
    <cellStyle name="Migliaia 42 4 2 4" xfId="6084" xr:uid="{00000000-0005-0000-0000-00000E0F0000}"/>
    <cellStyle name="Migliaia 42 4 2 5" xfId="7029" xr:uid="{00000000-0005-0000-0000-00000F0F0000}"/>
    <cellStyle name="Migliaia 42 4 2 6" xfId="5107" xr:uid="{00000000-0005-0000-0000-0000100F0000}"/>
    <cellStyle name="Migliaia 42 4 3" xfId="2495" xr:uid="{00000000-0005-0000-0000-0000110F0000}"/>
    <cellStyle name="Migliaia 42 4 4" xfId="3948" xr:uid="{00000000-0005-0000-0000-0000120F0000}"/>
    <cellStyle name="Migliaia 42 4 5" xfId="6083" xr:uid="{00000000-0005-0000-0000-0000130F0000}"/>
    <cellStyle name="Migliaia 42 4 6" xfId="7028" xr:uid="{00000000-0005-0000-0000-0000140F0000}"/>
    <cellStyle name="Migliaia 42 4 7" xfId="5106" xr:uid="{00000000-0005-0000-0000-0000150F0000}"/>
    <cellStyle name="Migliaia 42 5" xfId="1181" xr:uid="{00000000-0005-0000-0000-0000160F0000}"/>
    <cellStyle name="Migliaia 42 5 2" xfId="3949" xr:uid="{00000000-0005-0000-0000-0000170F0000}"/>
    <cellStyle name="Migliaia 42 5 3" xfId="6085" xr:uid="{00000000-0005-0000-0000-0000180F0000}"/>
    <cellStyle name="Migliaia 42 5 4" xfId="7030" xr:uid="{00000000-0005-0000-0000-0000190F0000}"/>
    <cellStyle name="Migliaia 42 5 5" xfId="5108" xr:uid="{00000000-0005-0000-0000-00001A0F0000}"/>
    <cellStyle name="Migliaia 42 6" xfId="3950" xr:uid="{00000000-0005-0000-0000-00001B0F0000}"/>
    <cellStyle name="Migliaia 42 7" xfId="6077" xr:uid="{00000000-0005-0000-0000-00001C0F0000}"/>
    <cellStyle name="Migliaia 42 8" xfId="7022" xr:uid="{00000000-0005-0000-0000-00001D0F0000}"/>
    <cellStyle name="Migliaia 42 9" xfId="5100" xr:uid="{00000000-0005-0000-0000-00001E0F0000}"/>
    <cellStyle name="Migliaia 43" xfId="182" xr:uid="{00000000-0005-0000-0000-00001F0F0000}"/>
    <cellStyle name="Migliaia 43 2" xfId="524" xr:uid="{00000000-0005-0000-0000-0000200F0000}"/>
    <cellStyle name="Migliaia 43 2 2" xfId="2497" xr:uid="{00000000-0005-0000-0000-0000210F0000}"/>
    <cellStyle name="Migliaia 43 2 2 2" xfId="3951" xr:uid="{00000000-0005-0000-0000-0000220F0000}"/>
    <cellStyle name="Migliaia 43 2 2 3" xfId="6088" xr:uid="{00000000-0005-0000-0000-0000230F0000}"/>
    <cellStyle name="Migliaia 43 2 2 4" xfId="7033" xr:uid="{00000000-0005-0000-0000-0000240F0000}"/>
    <cellStyle name="Migliaia 43 2 2 5" xfId="5111" xr:uid="{00000000-0005-0000-0000-0000250F0000}"/>
    <cellStyle name="Migliaia 43 2 3" xfId="3952" xr:uid="{00000000-0005-0000-0000-0000260F0000}"/>
    <cellStyle name="Migliaia 43 2 4" xfId="6087" xr:uid="{00000000-0005-0000-0000-0000270F0000}"/>
    <cellStyle name="Migliaia 43 2 5" xfId="7032" xr:uid="{00000000-0005-0000-0000-0000280F0000}"/>
    <cellStyle name="Migliaia 43 2 6" xfId="5110" xr:uid="{00000000-0005-0000-0000-0000290F0000}"/>
    <cellStyle name="Migliaia 43 3" xfId="1182" xr:uid="{00000000-0005-0000-0000-00002A0F0000}"/>
    <cellStyle name="Migliaia 43 3 2" xfId="1183" xr:uid="{00000000-0005-0000-0000-00002B0F0000}"/>
    <cellStyle name="Migliaia 43 3 2 2" xfId="3953" xr:uid="{00000000-0005-0000-0000-00002C0F0000}"/>
    <cellStyle name="Migliaia 43 3 2 2 2" xfId="6091" xr:uid="{00000000-0005-0000-0000-00002D0F0000}"/>
    <cellStyle name="Migliaia 43 3 2 2 3" xfId="7036" xr:uid="{00000000-0005-0000-0000-00002E0F0000}"/>
    <cellStyle name="Migliaia 43 3 2 2 4" xfId="5114" xr:uid="{00000000-0005-0000-0000-00002F0F0000}"/>
    <cellStyle name="Migliaia 43 3 2 3" xfId="3954" xr:uid="{00000000-0005-0000-0000-0000300F0000}"/>
    <cellStyle name="Migliaia 43 3 2 4" xfId="6090" xr:uid="{00000000-0005-0000-0000-0000310F0000}"/>
    <cellStyle name="Migliaia 43 3 2 5" xfId="7035" xr:uid="{00000000-0005-0000-0000-0000320F0000}"/>
    <cellStyle name="Migliaia 43 3 2 6" xfId="5113" xr:uid="{00000000-0005-0000-0000-0000330F0000}"/>
    <cellStyle name="Migliaia 43 3 3" xfId="1184" xr:uid="{00000000-0005-0000-0000-0000340F0000}"/>
    <cellStyle name="Migliaia 43 3 3 2" xfId="2499" xr:uid="{00000000-0005-0000-0000-0000350F0000}"/>
    <cellStyle name="Migliaia 43 3 4" xfId="2498" xr:uid="{00000000-0005-0000-0000-0000360F0000}"/>
    <cellStyle name="Migliaia 43 3 5" xfId="3955" xr:uid="{00000000-0005-0000-0000-0000370F0000}"/>
    <cellStyle name="Migliaia 43 3 6" xfId="6089" xr:uid="{00000000-0005-0000-0000-0000380F0000}"/>
    <cellStyle name="Migliaia 43 3 7" xfId="7034" xr:uid="{00000000-0005-0000-0000-0000390F0000}"/>
    <cellStyle name="Migliaia 43 3 8" xfId="5112" xr:uid="{00000000-0005-0000-0000-00003A0F0000}"/>
    <cellStyle name="Migliaia 43 4" xfId="1185" xr:uid="{00000000-0005-0000-0000-00003B0F0000}"/>
    <cellStyle name="Migliaia 43 4 2" xfId="1186" xr:uid="{00000000-0005-0000-0000-00003C0F0000}"/>
    <cellStyle name="Migliaia 43 4 2 2" xfId="2501" xr:uid="{00000000-0005-0000-0000-00003D0F0000}"/>
    <cellStyle name="Migliaia 43 4 2 3" xfId="3956" xr:uid="{00000000-0005-0000-0000-00003E0F0000}"/>
    <cellStyle name="Migliaia 43 4 2 4" xfId="6093" xr:uid="{00000000-0005-0000-0000-00003F0F0000}"/>
    <cellStyle name="Migliaia 43 4 2 5" xfId="7038" xr:uid="{00000000-0005-0000-0000-0000400F0000}"/>
    <cellStyle name="Migliaia 43 4 2 6" xfId="5116" xr:uid="{00000000-0005-0000-0000-0000410F0000}"/>
    <cellStyle name="Migliaia 43 4 3" xfId="2500" xr:uid="{00000000-0005-0000-0000-0000420F0000}"/>
    <cellStyle name="Migliaia 43 4 4" xfId="3957" xr:uid="{00000000-0005-0000-0000-0000430F0000}"/>
    <cellStyle name="Migliaia 43 4 5" xfId="6092" xr:uid="{00000000-0005-0000-0000-0000440F0000}"/>
    <cellStyle name="Migliaia 43 4 6" xfId="7037" xr:uid="{00000000-0005-0000-0000-0000450F0000}"/>
    <cellStyle name="Migliaia 43 4 7" xfId="5115" xr:uid="{00000000-0005-0000-0000-0000460F0000}"/>
    <cellStyle name="Migliaia 43 5" xfId="1187" xr:uid="{00000000-0005-0000-0000-0000470F0000}"/>
    <cellStyle name="Migliaia 43 5 2" xfId="3958" xr:uid="{00000000-0005-0000-0000-0000480F0000}"/>
    <cellStyle name="Migliaia 43 5 3" xfId="6094" xr:uid="{00000000-0005-0000-0000-0000490F0000}"/>
    <cellStyle name="Migliaia 43 5 4" xfId="7039" xr:uid="{00000000-0005-0000-0000-00004A0F0000}"/>
    <cellStyle name="Migliaia 43 5 5" xfId="5117" xr:uid="{00000000-0005-0000-0000-00004B0F0000}"/>
    <cellStyle name="Migliaia 43 6" xfId="3959" xr:uid="{00000000-0005-0000-0000-00004C0F0000}"/>
    <cellStyle name="Migliaia 43 7" xfId="6086" xr:uid="{00000000-0005-0000-0000-00004D0F0000}"/>
    <cellStyle name="Migliaia 43 8" xfId="7031" xr:uid="{00000000-0005-0000-0000-00004E0F0000}"/>
    <cellStyle name="Migliaia 43 9" xfId="5109" xr:uid="{00000000-0005-0000-0000-00004F0F0000}"/>
    <cellStyle name="Migliaia 44" xfId="183" xr:uid="{00000000-0005-0000-0000-0000500F0000}"/>
    <cellStyle name="Migliaia 44 2" xfId="525" xr:uid="{00000000-0005-0000-0000-0000510F0000}"/>
    <cellStyle name="Migliaia 44 2 2" xfId="2502" xr:uid="{00000000-0005-0000-0000-0000520F0000}"/>
    <cellStyle name="Migliaia 44 2 2 2" xfId="3960" xr:uid="{00000000-0005-0000-0000-0000530F0000}"/>
    <cellStyle name="Migliaia 44 2 2 3" xfId="6097" xr:uid="{00000000-0005-0000-0000-0000540F0000}"/>
    <cellStyle name="Migliaia 44 2 2 4" xfId="7042" xr:uid="{00000000-0005-0000-0000-0000550F0000}"/>
    <cellStyle name="Migliaia 44 2 2 5" xfId="5120" xr:uid="{00000000-0005-0000-0000-0000560F0000}"/>
    <cellStyle name="Migliaia 44 2 3" xfId="3961" xr:uid="{00000000-0005-0000-0000-0000570F0000}"/>
    <cellStyle name="Migliaia 44 2 4" xfId="6096" xr:uid="{00000000-0005-0000-0000-0000580F0000}"/>
    <cellStyle name="Migliaia 44 2 5" xfId="7041" xr:uid="{00000000-0005-0000-0000-0000590F0000}"/>
    <cellStyle name="Migliaia 44 2 6" xfId="5119" xr:uid="{00000000-0005-0000-0000-00005A0F0000}"/>
    <cellStyle name="Migliaia 44 3" xfId="1188" xr:uid="{00000000-0005-0000-0000-00005B0F0000}"/>
    <cellStyle name="Migliaia 44 3 2" xfId="1189" xr:uid="{00000000-0005-0000-0000-00005C0F0000}"/>
    <cellStyle name="Migliaia 44 3 2 2" xfId="3962" xr:uid="{00000000-0005-0000-0000-00005D0F0000}"/>
    <cellStyle name="Migliaia 44 3 2 2 2" xfId="6100" xr:uid="{00000000-0005-0000-0000-00005E0F0000}"/>
    <cellStyle name="Migliaia 44 3 2 2 3" xfId="7045" xr:uid="{00000000-0005-0000-0000-00005F0F0000}"/>
    <cellStyle name="Migliaia 44 3 2 2 4" xfId="5123" xr:uid="{00000000-0005-0000-0000-0000600F0000}"/>
    <cellStyle name="Migliaia 44 3 2 3" xfId="3963" xr:uid="{00000000-0005-0000-0000-0000610F0000}"/>
    <cellStyle name="Migliaia 44 3 2 4" xfId="6099" xr:uid="{00000000-0005-0000-0000-0000620F0000}"/>
    <cellStyle name="Migliaia 44 3 2 5" xfId="7044" xr:uid="{00000000-0005-0000-0000-0000630F0000}"/>
    <cellStyle name="Migliaia 44 3 2 6" xfId="5122" xr:uid="{00000000-0005-0000-0000-0000640F0000}"/>
    <cellStyle name="Migliaia 44 3 3" xfId="1190" xr:uid="{00000000-0005-0000-0000-0000650F0000}"/>
    <cellStyle name="Migliaia 44 3 3 2" xfId="2504" xr:uid="{00000000-0005-0000-0000-0000660F0000}"/>
    <cellStyle name="Migliaia 44 3 4" xfId="2503" xr:uid="{00000000-0005-0000-0000-0000670F0000}"/>
    <cellStyle name="Migliaia 44 3 5" xfId="3964" xr:uid="{00000000-0005-0000-0000-0000680F0000}"/>
    <cellStyle name="Migliaia 44 3 6" xfId="6098" xr:uid="{00000000-0005-0000-0000-0000690F0000}"/>
    <cellStyle name="Migliaia 44 3 7" xfId="7043" xr:uid="{00000000-0005-0000-0000-00006A0F0000}"/>
    <cellStyle name="Migliaia 44 3 8" xfId="5121" xr:uid="{00000000-0005-0000-0000-00006B0F0000}"/>
    <cellStyle name="Migliaia 44 4" xfId="1191" xr:uid="{00000000-0005-0000-0000-00006C0F0000}"/>
    <cellStyle name="Migliaia 44 4 2" xfId="1192" xr:uid="{00000000-0005-0000-0000-00006D0F0000}"/>
    <cellStyle name="Migliaia 44 4 2 2" xfId="2506" xr:uid="{00000000-0005-0000-0000-00006E0F0000}"/>
    <cellStyle name="Migliaia 44 4 2 3" xfId="3965" xr:uid="{00000000-0005-0000-0000-00006F0F0000}"/>
    <cellStyle name="Migliaia 44 4 2 4" xfId="6102" xr:uid="{00000000-0005-0000-0000-0000700F0000}"/>
    <cellStyle name="Migliaia 44 4 2 5" xfId="7047" xr:uid="{00000000-0005-0000-0000-0000710F0000}"/>
    <cellStyle name="Migliaia 44 4 2 6" xfId="5125" xr:uid="{00000000-0005-0000-0000-0000720F0000}"/>
    <cellStyle name="Migliaia 44 4 3" xfId="2505" xr:uid="{00000000-0005-0000-0000-0000730F0000}"/>
    <cellStyle name="Migliaia 44 4 4" xfId="3966" xr:uid="{00000000-0005-0000-0000-0000740F0000}"/>
    <cellStyle name="Migliaia 44 4 5" xfId="6101" xr:uid="{00000000-0005-0000-0000-0000750F0000}"/>
    <cellStyle name="Migliaia 44 4 6" xfId="7046" xr:uid="{00000000-0005-0000-0000-0000760F0000}"/>
    <cellStyle name="Migliaia 44 4 7" xfId="5124" xr:uid="{00000000-0005-0000-0000-0000770F0000}"/>
    <cellStyle name="Migliaia 44 5" xfId="1193" xr:uid="{00000000-0005-0000-0000-0000780F0000}"/>
    <cellStyle name="Migliaia 44 5 2" xfId="3967" xr:uid="{00000000-0005-0000-0000-0000790F0000}"/>
    <cellStyle name="Migliaia 44 5 3" xfId="6103" xr:uid="{00000000-0005-0000-0000-00007A0F0000}"/>
    <cellStyle name="Migliaia 44 5 4" xfId="7048" xr:uid="{00000000-0005-0000-0000-00007B0F0000}"/>
    <cellStyle name="Migliaia 44 5 5" xfId="5126" xr:uid="{00000000-0005-0000-0000-00007C0F0000}"/>
    <cellStyle name="Migliaia 44 6" xfId="3968" xr:uid="{00000000-0005-0000-0000-00007D0F0000}"/>
    <cellStyle name="Migliaia 44 7" xfId="6095" xr:uid="{00000000-0005-0000-0000-00007E0F0000}"/>
    <cellStyle name="Migliaia 44 8" xfId="7040" xr:uid="{00000000-0005-0000-0000-00007F0F0000}"/>
    <cellStyle name="Migliaia 44 9" xfId="5118" xr:uid="{00000000-0005-0000-0000-0000800F0000}"/>
    <cellStyle name="Migliaia 45" xfId="184" xr:uid="{00000000-0005-0000-0000-0000810F0000}"/>
    <cellStyle name="Migliaia 45 2" xfId="526" xr:uid="{00000000-0005-0000-0000-0000820F0000}"/>
    <cellStyle name="Migliaia 45 2 2" xfId="2507" xr:uid="{00000000-0005-0000-0000-0000830F0000}"/>
    <cellStyle name="Migliaia 45 2 2 2" xfId="3969" xr:uid="{00000000-0005-0000-0000-0000840F0000}"/>
    <cellStyle name="Migliaia 45 2 2 3" xfId="6106" xr:uid="{00000000-0005-0000-0000-0000850F0000}"/>
    <cellStyle name="Migliaia 45 2 2 4" xfId="7051" xr:uid="{00000000-0005-0000-0000-0000860F0000}"/>
    <cellStyle name="Migliaia 45 2 2 5" xfId="5129" xr:uid="{00000000-0005-0000-0000-0000870F0000}"/>
    <cellStyle name="Migliaia 45 2 3" xfId="3970" xr:uid="{00000000-0005-0000-0000-0000880F0000}"/>
    <cellStyle name="Migliaia 45 2 4" xfId="6105" xr:uid="{00000000-0005-0000-0000-0000890F0000}"/>
    <cellStyle name="Migliaia 45 2 5" xfId="7050" xr:uid="{00000000-0005-0000-0000-00008A0F0000}"/>
    <cellStyle name="Migliaia 45 2 6" xfId="5128" xr:uid="{00000000-0005-0000-0000-00008B0F0000}"/>
    <cellStyle name="Migliaia 45 3" xfId="1194" xr:uid="{00000000-0005-0000-0000-00008C0F0000}"/>
    <cellStyle name="Migliaia 45 3 2" xfId="1195" xr:uid="{00000000-0005-0000-0000-00008D0F0000}"/>
    <cellStyle name="Migliaia 45 3 2 2" xfId="3971" xr:uid="{00000000-0005-0000-0000-00008E0F0000}"/>
    <cellStyle name="Migliaia 45 3 2 2 2" xfId="6109" xr:uid="{00000000-0005-0000-0000-00008F0F0000}"/>
    <cellStyle name="Migliaia 45 3 2 2 3" xfId="7054" xr:uid="{00000000-0005-0000-0000-0000900F0000}"/>
    <cellStyle name="Migliaia 45 3 2 2 4" xfId="5132" xr:uid="{00000000-0005-0000-0000-0000910F0000}"/>
    <cellStyle name="Migliaia 45 3 2 3" xfId="3972" xr:uid="{00000000-0005-0000-0000-0000920F0000}"/>
    <cellStyle name="Migliaia 45 3 2 4" xfId="6108" xr:uid="{00000000-0005-0000-0000-0000930F0000}"/>
    <cellStyle name="Migliaia 45 3 2 5" xfId="7053" xr:uid="{00000000-0005-0000-0000-0000940F0000}"/>
    <cellStyle name="Migliaia 45 3 2 6" xfId="5131" xr:uid="{00000000-0005-0000-0000-0000950F0000}"/>
    <cellStyle name="Migliaia 45 3 3" xfId="1196" xr:uid="{00000000-0005-0000-0000-0000960F0000}"/>
    <cellStyle name="Migliaia 45 3 3 2" xfId="2509" xr:uid="{00000000-0005-0000-0000-0000970F0000}"/>
    <cellStyle name="Migliaia 45 3 4" xfId="2508" xr:uid="{00000000-0005-0000-0000-0000980F0000}"/>
    <cellStyle name="Migliaia 45 3 5" xfId="3973" xr:uid="{00000000-0005-0000-0000-0000990F0000}"/>
    <cellStyle name="Migliaia 45 3 6" xfId="6107" xr:uid="{00000000-0005-0000-0000-00009A0F0000}"/>
    <cellStyle name="Migliaia 45 3 7" xfId="7052" xr:uid="{00000000-0005-0000-0000-00009B0F0000}"/>
    <cellStyle name="Migliaia 45 3 8" xfId="5130" xr:uid="{00000000-0005-0000-0000-00009C0F0000}"/>
    <cellStyle name="Migliaia 45 4" xfId="1197" xr:uid="{00000000-0005-0000-0000-00009D0F0000}"/>
    <cellStyle name="Migliaia 45 4 2" xfId="1198" xr:uid="{00000000-0005-0000-0000-00009E0F0000}"/>
    <cellStyle name="Migliaia 45 4 2 2" xfId="2511" xr:uid="{00000000-0005-0000-0000-00009F0F0000}"/>
    <cellStyle name="Migliaia 45 4 2 3" xfId="3974" xr:uid="{00000000-0005-0000-0000-0000A00F0000}"/>
    <cellStyle name="Migliaia 45 4 2 4" xfId="6111" xr:uid="{00000000-0005-0000-0000-0000A10F0000}"/>
    <cellStyle name="Migliaia 45 4 2 5" xfId="7056" xr:uid="{00000000-0005-0000-0000-0000A20F0000}"/>
    <cellStyle name="Migliaia 45 4 2 6" xfId="5134" xr:uid="{00000000-0005-0000-0000-0000A30F0000}"/>
    <cellStyle name="Migliaia 45 4 3" xfId="2510" xr:uid="{00000000-0005-0000-0000-0000A40F0000}"/>
    <cellStyle name="Migliaia 45 4 4" xfId="3975" xr:uid="{00000000-0005-0000-0000-0000A50F0000}"/>
    <cellStyle name="Migliaia 45 4 5" xfId="6110" xr:uid="{00000000-0005-0000-0000-0000A60F0000}"/>
    <cellStyle name="Migliaia 45 4 6" xfId="7055" xr:uid="{00000000-0005-0000-0000-0000A70F0000}"/>
    <cellStyle name="Migliaia 45 4 7" xfId="5133" xr:uid="{00000000-0005-0000-0000-0000A80F0000}"/>
    <cellStyle name="Migliaia 45 5" xfId="1199" xr:uid="{00000000-0005-0000-0000-0000A90F0000}"/>
    <cellStyle name="Migliaia 45 5 2" xfId="3976" xr:uid="{00000000-0005-0000-0000-0000AA0F0000}"/>
    <cellStyle name="Migliaia 45 5 3" xfId="6112" xr:uid="{00000000-0005-0000-0000-0000AB0F0000}"/>
    <cellStyle name="Migliaia 45 5 4" xfId="7057" xr:uid="{00000000-0005-0000-0000-0000AC0F0000}"/>
    <cellStyle name="Migliaia 45 5 5" xfId="5135" xr:uid="{00000000-0005-0000-0000-0000AD0F0000}"/>
    <cellStyle name="Migliaia 45 6" xfId="3977" xr:uid="{00000000-0005-0000-0000-0000AE0F0000}"/>
    <cellStyle name="Migliaia 45 7" xfId="6104" xr:uid="{00000000-0005-0000-0000-0000AF0F0000}"/>
    <cellStyle name="Migliaia 45 8" xfId="7049" xr:uid="{00000000-0005-0000-0000-0000B00F0000}"/>
    <cellStyle name="Migliaia 45 9" xfId="5127" xr:uid="{00000000-0005-0000-0000-0000B10F0000}"/>
    <cellStyle name="Migliaia 46" xfId="185" xr:uid="{00000000-0005-0000-0000-0000B20F0000}"/>
    <cellStyle name="Migliaia 46 2" xfId="527" xr:uid="{00000000-0005-0000-0000-0000B30F0000}"/>
    <cellStyle name="Migliaia 46 2 2" xfId="2512" xr:uid="{00000000-0005-0000-0000-0000B40F0000}"/>
    <cellStyle name="Migliaia 46 2 2 2" xfId="3978" xr:uid="{00000000-0005-0000-0000-0000B50F0000}"/>
    <cellStyle name="Migliaia 46 2 2 3" xfId="6115" xr:uid="{00000000-0005-0000-0000-0000B60F0000}"/>
    <cellStyle name="Migliaia 46 2 2 4" xfId="7060" xr:uid="{00000000-0005-0000-0000-0000B70F0000}"/>
    <cellStyle name="Migliaia 46 2 2 5" xfId="5138" xr:uid="{00000000-0005-0000-0000-0000B80F0000}"/>
    <cellStyle name="Migliaia 46 2 3" xfId="3979" xr:uid="{00000000-0005-0000-0000-0000B90F0000}"/>
    <cellStyle name="Migliaia 46 2 4" xfId="6114" xr:uid="{00000000-0005-0000-0000-0000BA0F0000}"/>
    <cellStyle name="Migliaia 46 2 5" xfId="7059" xr:uid="{00000000-0005-0000-0000-0000BB0F0000}"/>
    <cellStyle name="Migliaia 46 2 6" xfId="5137" xr:uid="{00000000-0005-0000-0000-0000BC0F0000}"/>
    <cellStyle name="Migliaia 46 3" xfId="1200" xr:uid="{00000000-0005-0000-0000-0000BD0F0000}"/>
    <cellStyle name="Migliaia 46 3 2" xfId="1201" xr:uid="{00000000-0005-0000-0000-0000BE0F0000}"/>
    <cellStyle name="Migliaia 46 3 2 2" xfId="3980" xr:uid="{00000000-0005-0000-0000-0000BF0F0000}"/>
    <cellStyle name="Migliaia 46 3 2 2 2" xfId="6118" xr:uid="{00000000-0005-0000-0000-0000C00F0000}"/>
    <cellStyle name="Migliaia 46 3 2 2 3" xfId="7063" xr:uid="{00000000-0005-0000-0000-0000C10F0000}"/>
    <cellStyle name="Migliaia 46 3 2 2 4" xfId="5141" xr:uid="{00000000-0005-0000-0000-0000C20F0000}"/>
    <cellStyle name="Migliaia 46 3 2 3" xfId="3981" xr:uid="{00000000-0005-0000-0000-0000C30F0000}"/>
    <cellStyle name="Migliaia 46 3 2 4" xfId="6117" xr:uid="{00000000-0005-0000-0000-0000C40F0000}"/>
    <cellStyle name="Migliaia 46 3 2 5" xfId="7062" xr:uid="{00000000-0005-0000-0000-0000C50F0000}"/>
    <cellStyle name="Migliaia 46 3 2 6" xfId="5140" xr:uid="{00000000-0005-0000-0000-0000C60F0000}"/>
    <cellStyle name="Migliaia 46 3 3" xfId="1202" xr:uid="{00000000-0005-0000-0000-0000C70F0000}"/>
    <cellStyle name="Migliaia 46 3 3 2" xfId="2514" xr:uid="{00000000-0005-0000-0000-0000C80F0000}"/>
    <cellStyle name="Migliaia 46 3 4" xfId="2513" xr:uid="{00000000-0005-0000-0000-0000C90F0000}"/>
    <cellStyle name="Migliaia 46 3 5" xfId="3982" xr:uid="{00000000-0005-0000-0000-0000CA0F0000}"/>
    <cellStyle name="Migliaia 46 3 6" xfId="6116" xr:uid="{00000000-0005-0000-0000-0000CB0F0000}"/>
    <cellStyle name="Migliaia 46 3 7" xfId="7061" xr:uid="{00000000-0005-0000-0000-0000CC0F0000}"/>
    <cellStyle name="Migliaia 46 3 8" xfId="5139" xr:uid="{00000000-0005-0000-0000-0000CD0F0000}"/>
    <cellStyle name="Migliaia 46 4" xfId="1203" xr:uid="{00000000-0005-0000-0000-0000CE0F0000}"/>
    <cellStyle name="Migliaia 46 4 2" xfId="1204" xr:uid="{00000000-0005-0000-0000-0000CF0F0000}"/>
    <cellStyle name="Migliaia 46 4 2 2" xfId="2516" xr:uid="{00000000-0005-0000-0000-0000D00F0000}"/>
    <cellStyle name="Migliaia 46 4 2 3" xfId="3983" xr:uid="{00000000-0005-0000-0000-0000D10F0000}"/>
    <cellStyle name="Migliaia 46 4 2 4" xfId="6120" xr:uid="{00000000-0005-0000-0000-0000D20F0000}"/>
    <cellStyle name="Migliaia 46 4 2 5" xfId="7065" xr:uid="{00000000-0005-0000-0000-0000D30F0000}"/>
    <cellStyle name="Migliaia 46 4 2 6" xfId="5143" xr:uid="{00000000-0005-0000-0000-0000D40F0000}"/>
    <cellStyle name="Migliaia 46 4 3" xfId="2515" xr:uid="{00000000-0005-0000-0000-0000D50F0000}"/>
    <cellStyle name="Migliaia 46 4 4" xfId="3984" xr:uid="{00000000-0005-0000-0000-0000D60F0000}"/>
    <cellStyle name="Migliaia 46 4 5" xfId="6119" xr:uid="{00000000-0005-0000-0000-0000D70F0000}"/>
    <cellStyle name="Migliaia 46 4 6" xfId="7064" xr:uid="{00000000-0005-0000-0000-0000D80F0000}"/>
    <cellStyle name="Migliaia 46 4 7" xfId="5142" xr:uid="{00000000-0005-0000-0000-0000D90F0000}"/>
    <cellStyle name="Migliaia 46 5" xfId="1205" xr:uid="{00000000-0005-0000-0000-0000DA0F0000}"/>
    <cellStyle name="Migliaia 46 5 2" xfId="3985" xr:uid="{00000000-0005-0000-0000-0000DB0F0000}"/>
    <cellStyle name="Migliaia 46 5 3" xfId="6121" xr:uid="{00000000-0005-0000-0000-0000DC0F0000}"/>
    <cellStyle name="Migliaia 46 5 4" xfId="7066" xr:uid="{00000000-0005-0000-0000-0000DD0F0000}"/>
    <cellStyle name="Migliaia 46 5 5" xfId="5144" xr:uid="{00000000-0005-0000-0000-0000DE0F0000}"/>
    <cellStyle name="Migliaia 46 6" xfId="3986" xr:uid="{00000000-0005-0000-0000-0000DF0F0000}"/>
    <cellStyle name="Migliaia 46 7" xfId="6113" xr:uid="{00000000-0005-0000-0000-0000E00F0000}"/>
    <cellStyle name="Migliaia 46 8" xfId="7058" xr:uid="{00000000-0005-0000-0000-0000E10F0000}"/>
    <cellStyle name="Migliaia 46 9" xfId="5136" xr:uid="{00000000-0005-0000-0000-0000E20F0000}"/>
    <cellStyle name="Migliaia 47" xfId="186" xr:uid="{00000000-0005-0000-0000-0000E30F0000}"/>
    <cellStyle name="Migliaia 47 2" xfId="528" xr:uid="{00000000-0005-0000-0000-0000E40F0000}"/>
    <cellStyle name="Migliaia 47 2 2" xfId="2517" xr:uid="{00000000-0005-0000-0000-0000E50F0000}"/>
    <cellStyle name="Migliaia 47 2 2 2" xfId="3987" xr:uid="{00000000-0005-0000-0000-0000E60F0000}"/>
    <cellStyle name="Migliaia 47 2 2 3" xfId="6124" xr:uid="{00000000-0005-0000-0000-0000E70F0000}"/>
    <cellStyle name="Migliaia 47 2 2 4" xfId="7069" xr:uid="{00000000-0005-0000-0000-0000E80F0000}"/>
    <cellStyle name="Migliaia 47 2 2 5" xfId="5147" xr:uid="{00000000-0005-0000-0000-0000E90F0000}"/>
    <cellStyle name="Migliaia 47 2 3" xfId="3988" xr:uid="{00000000-0005-0000-0000-0000EA0F0000}"/>
    <cellStyle name="Migliaia 47 2 4" xfId="6123" xr:uid="{00000000-0005-0000-0000-0000EB0F0000}"/>
    <cellStyle name="Migliaia 47 2 5" xfId="7068" xr:uid="{00000000-0005-0000-0000-0000EC0F0000}"/>
    <cellStyle name="Migliaia 47 2 6" xfId="5146" xr:uid="{00000000-0005-0000-0000-0000ED0F0000}"/>
    <cellStyle name="Migliaia 47 3" xfId="1206" xr:uid="{00000000-0005-0000-0000-0000EE0F0000}"/>
    <cellStyle name="Migliaia 47 3 2" xfId="1207" xr:uid="{00000000-0005-0000-0000-0000EF0F0000}"/>
    <cellStyle name="Migliaia 47 3 2 2" xfId="3989" xr:uid="{00000000-0005-0000-0000-0000F00F0000}"/>
    <cellStyle name="Migliaia 47 3 2 2 2" xfId="6127" xr:uid="{00000000-0005-0000-0000-0000F10F0000}"/>
    <cellStyle name="Migliaia 47 3 2 2 3" xfId="7072" xr:uid="{00000000-0005-0000-0000-0000F20F0000}"/>
    <cellStyle name="Migliaia 47 3 2 2 4" xfId="5150" xr:uid="{00000000-0005-0000-0000-0000F30F0000}"/>
    <cellStyle name="Migliaia 47 3 2 3" xfId="3990" xr:uid="{00000000-0005-0000-0000-0000F40F0000}"/>
    <cellStyle name="Migliaia 47 3 2 4" xfId="6126" xr:uid="{00000000-0005-0000-0000-0000F50F0000}"/>
    <cellStyle name="Migliaia 47 3 2 5" xfId="7071" xr:uid="{00000000-0005-0000-0000-0000F60F0000}"/>
    <cellStyle name="Migliaia 47 3 2 6" xfId="5149" xr:uid="{00000000-0005-0000-0000-0000F70F0000}"/>
    <cellStyle name="Migliaia 47 3 3" xfId="1208" xr:uid="{00000000-0005-0000-0000-0000F80F0000}"/>
    <cellStyle name="Migliaia 47 3 3 2" xfId="2519" xr:uid="{00000000-0005-0000-0000-0000F90F0000}"/>
    <cellStyle name="Migliaia 47 3 4" xfId="2518" xr:uid="{00000000-0005-0000-0000-0000FA0F0000}"/>
    <cellStyle name="Migliaia 47 3 5" xfId="3991" xr:uid="{00000000-0005-0000-0000-0000FB0F0000}"/>
    <cellStyle name="Migliaia 47 3 6" xfId="6125" xr:uid="{00000000-0005-0000-0000-0000FC0F0000}"/>
    <cellStyle name="Migliaia 47 3 7" xfId="7070" xr:uid="{00000000-0005-0000-0000-0000FD0F0000}"/>
    <cellStyle name="Migliaia 47 3 8" xfId="5148" xr:uid="{00000000-0005-0000-0000-0000FE0F0000}"/>
    <cellStyle name="Migliaia 47 4" xfId="1209" xr:uid="{00000000-0005-0000-0000-0000FF0F0000}"/>
    <cellStyle name="Migliaia 47 4 2" xfId="1210" xr:uid="{00000000-0005-0000-0000-000000100000}"/>
    <cellStyle name="Migliaia 47 4 2 2" xfId="2521" xr:uid="{00000000-0005-0000-0000-000001100000}"/>
    <cellStyle name="Migliaia 47 4 2 3" xfId="3992" xr:uid="{00000000-0005-0000-0000-000002100000}"/>
    <cellStyle name="Migliaia 47 4 2 4" xfId="6129" xr:uid="{00000000-0005-0000-0000-000003100000}"/>
    <cellStyle name="Migliaia 47 4 2 5" xfId="7074" xr:uid="{00000000-0005-0000-0000-000004100000}"/>
    <cellStyle name="Migliaia 47 4 2 6" xfId="5152" xr:uid="{00000000-0005-0000-0000-000005100000}"/>
    <cellStyle name="Migliaia 47 4 3" xfId="2520" xr:uid="{00000000-0005-0000-0000-000006100000}"/>
    <cellStyle name="Migliaia 47 4 4" xfId="3993" xr:uid="{00000000-0005-0000-0000-000007100000}"/>
    <cellStyle name="Migliaia 47 4 5" xfId="6128" xr:uid="{00000000-0005-0000-0000-000008100000}"/>
    <cellStyle name="Migliaia 47 4 6" xfId="7073" xr:uid="{00000000-0005-0000-0000-000009100000}"/>
    <cellStyle name="Migliaia 47 4 7" xfId="5151" xr:uid="{00000000-0005-0000-0000-00000A100000}"/>
    <cellStyle name="Migliaia 47 5" xfId="1211" xr:uid="{00000000-0005-0000-0000-00000B100000}"/>
    <cellStyle name="Migliaia 47 5 2" xfId="3994" xr:uid="{00000000-0005-0000-0000-00000C100000}"/>
    <cellStyle name="Migliaia 47 5 3" xfId="6130" xr:uid="{00000000-0005-0000-0000-00000D100000}"/>
    <cellStyle name="Migliaia 47 5 4" xfId="7075" xr:uid="{00000000-0005-0000-0000-00000E100000}"/>
    <cellStyle name="Migliaia 47 5 5" xfId="5153" xr:uid="{00000000-0005-0000-0000-00000F100000}"/>
    <cellStyle name="Migliaia 47 6" xfId="3995" xr:uid="{00000000-0005-0000-0000-000010100000}"/>
    <cellStyle name="Migliaia 47 7" xfId="6122" xr:uid="{00000000-0005-0000-0000-000011100000}"/>
    <cellStyle name="Migliaia 47 8" xfId="7067" xr:uid="{00000000-0005-0000-0000-000012100000}"/>
    <cellStyle name="Migliaia 47 9" xfId="5145" xr:uid="{00000000-0005-0000-0000-000013100000}"/>
    <cellStyle name="Migliaia 48" xfId="187" xr:uid="{00000000-0005-0000-0000-000014100000}"/>
    <cellStyle name="Migliaia 48 2" xfId="529" xr:uid="{00000000-0005-0000-0000-000015100000}"/>
    <cellStyle name="Migliaia 48 2 2" xfId="2522" xr:uid="{00000000-0005-0000-0000-000016100000}"/>
    <cellStyle name="Migliaia 48 2 2 2" xfId="3996" xr:uid="{00000000-0005-0000-0000-000017100000}"/>
    <cellStyle name="Migliaia 48 2 2 3" xfId="6133" xr:uid="{00000000-0005-0000-0000-000018100000}"/>
    <cellStyle name="Migliaia 48 2 2 4" xfId="7078" xr:uid="{00000000-0005-0000-0000-000019100000}"/>
    <cellStyle name="Migliaia 48 2 2 5" xfId="5156" xr:uid="{00000000-0005-0000-0000-00001A100000}"/>
    <cellStyle name="Migliaia 48 2 3" xfId="3997" xr:uid="{00000000-0005-0000-0000-00001B100000}"/>
    <cellStyle name="Migliaia 48 2 4" xfId="6132" xr:uid="{00000000-0005-0000-0000-00001C100000}"/>
    <cellStyle name="Migliaia 48 2 5" xfId="7077" xr:uid="{00000000-0005-0000-0000-00001D100000}"/>
    <cellStyle name="Migliaia 48 2 6" xfId="5155" xr:uid="{00000000-0005-0000-0000-00001E100000}"/>
    <cellStyle name="Migliaia 48 3" xfId="1212" xr:uid="{00000000-0005-0000-0000-00001F100000}"/>
    <cellStyle name="Migliaia 48 3 2" xfId="1213" xr:uid="{00000000-0005-0000-0000-000020100000}"/>
    <cellStyle name="Migliaia 48 3 2 2" xfId="3998" xr:uid="{00000000-0005-0000-0000-000021100000}"/>
    <cellStyle name="Migliaia 48 3 2 2 2" xfId="6136" xr:uid="{00000000-0005-0000-0000-000022100000}"/>
    <cellStyle name="Migliaia 48 3 2 2 3" xfId="7081" xr:uid="{00000000-0005-0000-0000-000023100000}"/>
    <cellStyle name="Migliaia 48 3 2 2 4" xfId="5159" xr:uid="{00000000-0005-0000-0000-000024100000}"/>
    <cellStyle name="Migliaia 48 3 2 3" xfId="3999" xr:uid="{00000000-0005-0000-0000-000025100000}"/>
    <cellStyle name="Migliaia 48 3 2 4" xfId="6135" xr:uid="{00000000-0005-0000-0000-000026100000}"/>
    <cellStyle name="Migliaia 48 3 2 5" xfId="7080" xr:uid="{00000000-0005-0000-0000-000027100000}"/>
    <cellStyle name="Migliaia 48 3 2 6" xfId="5158" xr:uid="{00000000-0005-0000-0000-000028100000}"/>
    <cellStyle name="Migliaia 48 3 3" xfId="1214" xr:uid="{00000000-0005-0000-0000-000029100000}"/>
    <cellStyle name="Migliaia 48 3 3 2" xfId="2524" xr:uid="{00000000-0005-0000-0000-00002A100000}"/>
    <cellStyle name="Migliaia 48 3 4" xfId="2523" xr:uid="{00000000-0005-0000-0000-00002B100000}"/>
    <cellStyle name="Migliaia 48 3 5" xfId="4000" xr:uid="{00000000-0005-0000-0000-00002C100000}"/>
    <cellStyle name="Migliaia 48 3 6" xfId="6134" xr:uid="{00000000-0005-0000-0000-00002D100000}"/>
    <cellStyle name="Migliaia 48 3 7" xfId="7079" xr:uid="{00000000-0005-0000-0000-00002E100000}"/>
    <cellStyle name="Migliaia 48 3 8" xfId="5157" xr:uid="{00000000-0005-0000-0000-00002F100000}"/>
    <cellStyle name="Migliaia 48 4" xfId="1215" xr:uid="{00000000-0005-0000-0000-000030100000}"/>
    <cellStyle name="Migliaia 48 4 2" xfId="1216" xr:uid="{00000000-0005-0000-0000-000031100000}"/>
    <cellStyle name="Migliaia 48 4 2 2" xfId="2526" xr:uid="{00000000-0005-0000-0000-000032100000}"/>
    <cellStyle name="Migliaia 48 4 2 3" xfId="4001" xr:uid="{00000000-0005-0000-0000-000033100000}"/>
    <cellStyle name="Migliaia 48 4 2 4" xfId="6138" xr:uid="{00000000-0005-0000-0000-000034100000}"/>
    <cellStyle name="Migliaia 48 4 2 5" xfId="7083" xr:uid="{00000000-0005-0000-0000-000035100000}"/>
    <cellStyle name="Migliaia 48 4 2 6" xfId="5161" xr:uid="{00000000-0005-0000-0000-000036100000}"/>
    <cellStyle name="Migliaia 48 4 3" xfId="2525" xr:uid="{00000000-0005-0000-0000-000037100000}"/>
    <cellStyle name="Migliaia 48 4 4" xfId="4002" xr:uid="{00000000-0005-0000-0000-000038100000}"/>
    <cellStyle name="Migliaia 48 4 5" xfId="6137" xr:uid="{00000000-0005-0000-0000-000039100000}"/>
    <cellStyle name="Migliaia 48 4 6" xfId="7082" xr:uid="{00000000-0005-0000-0000-00003A100000}"/>
    <cellStyle name="Migliaia 48 4 7" xfId="5160" xr:uid="{00000000-0005-0000-0000-00003B100000}"/>
    <cellStyle name="Migliaia 48 5" xfId="1217" xr:uid="{00000000-0005-0000-0000-00003C100000}"/>
    <cellStyle name="Migliaia 48 5 2" xfId="4003" xr:uid="{00000000-0005-0000-0000-00003D100000}"/>
    <cellStyle name="Migliaia 48 5 3" xfId="6139" xr:uid="{00000000-0005-0000-0000-00003E100000}"/>
    <cellStyle name="Migliaia 48 5 4" xfId="7084" xr:uid="{00000000-0005-0000-0000-00003F100000}"/>
    <cellStyle name="Migliaia 48 5 5" xfId="5162" xr:uid="{00000000-0005-0000-0000-000040100000}"/>
    <cellStyle name="Migliaia 48 6" xfId="4004" xr:uid="{00000000-0005-0000-0000-000041100000}"/>
    <cellStyle name="Migliaia 48 7" xfId="6131" xr:uid="{00000000-0005-0000-0000-000042100000}"/>
    <cellStyle name="Migliaia 48 8" xfId="7076" xr:uid="{00000000-0005-0000-0000-000043100000}"/>
    <cellStyle name="Migliaia 48 9" xfId="5154" xr:uid="{00000000-0005-0000-0000-000044100000}"/>
    <cellStyle name="Migliaia 49" xfId="188" xr:uid="{00000000-0005-0000-0000-000045100000}"/>
    <cellStyle name="Migliaia 49 2" xfId="530" xr:uid="{00000000-0005-0000-0000-000046100000}"/>
    <cellStyle name="Migliaia 49 2 2" xfId="2527" xr:uid="{00000000-0005-0000-0000-000047100000}"/>
    <cellStyle name="Migliaia 49 2 2 2" xfId="4005" xr:uid="{00000000-0005-0000-0000-000048100000}"/>
    <cellStyle name="Migliaia 49 2 2 3" xfId="6142" xr:uid="{00000000-0005-0000-0000-000049100000}"/>
    <cellStyle name="Migliaia 49 2 2 4" xfId="7087" xr:uid="{00000000-0005-0000-0000-00004A100000}"/>
    <cellStyle name="Migliaia 49 2 2 5" xfId="5165" xr:uid="{00000000-0005-0000-0000-00004B100000}"/>
    <cellStyle name="Migliaia 49 2 3" xfId="4006" xr:uid="{00000000-0005-0000-0000-00004C100000}"/>
    <cellStyle name="Migliaia 49 2 4" xfId="6141" xr:uid="{00000000-0005-0000-0000-00004D100000}"/>
    <cellStyle name="Migliaia 49 2 5" xfId="7086" xr:uid="{00000000-0005-0000-0000-00004E100000}"/>
    <cellStyle name="Migliaia 49 2 6" xfId="5164" xr:uid="{00000000-0005-0000-0000-00004F100000}"/>
    <cellStyle name="Migliaia 49 3" xfId="1218" xr:uid="{00000000-0005-0000-0000-000050100000}"/>
    <cellStyle name="Migliaia 49 3 2" xfId="1219" xr:uid="{00000000-0005-0000-0000-000051100000}"/>
    <cellStyle name="Migliaia 49 3 2 2" xfId="4007" xr:uid="{00000000-0005-0000-0000-000052100000}"/>
    <cellStyle name="Migliaia 49 3 2 2 2" xfId="6145" xr:uid="{00000000-0005-0000-0000-000053100000}"/>
    <cellStyle name="Migliaia 49 3 2 2 3" xfId="7090" xr:uid="{00000000-0005-0000-0000-000054100000}"/>
    <cellStyle name="Migliaia 49 3 2 2 4" xfId="5168" xr:uid="{00000000-0005-0000-0000-000055100000}"/>
    <cellStyle name="Migliaia 49 3 2 3" xfId="4008" xr:uid="{00000000-0005-0000-0000-000056100000}"/>
    <cellStyle name="Migliaia 49 3 2 4" xfId="6144" xr:uid="{00000000-0005-0000-0000-000057100000}"/>
    <cellStyle name="Migliaia 49 3 2 5" xfId="7089" xr:uid="{00000000-0005-0000-0000-000058100000}"/>
    <cellStyle name="Migliaia 49 3 2 6" xfId="5167" xr:uid="{00000000-0005-0000-0000-000059100000}"/>
    <cellStyle name="Migliaia 49 3 3" xfId="1220" xr:uid="{00000000-0005-0000-0000-00005A100000}"/>
    <cellStyle name="Migliaia 49 3 3 2" xfId="2529" xr:uid="{00000000-0005-0000-0000-00005B100000}"/>
    <cellStyle name="Migliaia 49 3 4" xfId="2528" xr:uid="{00000000-0005-0000-0000-00005C100000}"/>
    <cellStyle name="Migliaia 49 3 5" xfId="4009" xr:uid="{00000000-0005-0000-0000-00005D100000}"/>
    <cellStyle name="Migliaia 49 3 6" xfId="6143" xr:uid="{00000000-0005-0000-0000-00005E100000}"/>
    <cellStyle name="Migliaia 49 3 7" xfId="7088" xr:uid="{00000000-0005-0000-0000-00005F100000}"/>
    <cellStyle name="Migliaia 49 3 8" xfId="5166" xr:uid="{00000000-0005-0000-0000-000060100000}"/>
    <cellStyle name="Migliaia 49 4" xfId="1221" xr:uid="{00000000-0005-0000-0000-000061100000}"/>
    <cellStyle name="Migliaia 49 4 2" xfId="1222" xr:uid="{00000000-0005-0000-0000-000062100000}"/>
    <cellStyle name="Migliaia 49 4 2 2" xfId="2531" xr:uid="{00000000-0005-0000-0000-000063100000}"/>
    <cellStyle name="Migliaia 49 4 2 3" xfId="4010" xr:uid="{00000000-0005-0000-0000-000064100000}"/>
    <cellStyle name="Migliaia 49 4 2 4" xfId="6147" xr:uid="{00000000-0005-0000-0000-000065100000}"/>
    <cellStyle name="Migliaia 49 4 2 5" xfId="7092" xr:uid="{00000000-0005-0000-0000-000066100000}"/>
    <cellStyle name="Migliaia 49 4 2 6" xfId="5170" xr:uid="{00000000-0005-0000-0000-000067100000}"/>
    <cellStyle name="Migliaia 49 4 3" xfId="2530" xr:uid="{00000000-0005-0000-0000-000068100000}"/>
    <cellStyle name="Migliaia 49 4 4" xfId="4011" xr:uid="{00000000-0005-0000-0000-000069100000}"/>
    <cellStyle name="Migliaia 49 4 5" xfId="6146" xr:uid="{00000000-0005-0000-0000-00006A100000}"/>
    <cellStyle name="Migliaia 49 4 6" xfId="7091" xr:uid="{00000000-0005-0000-0000-00006B100000}"/>
    <cellStyle name="Migliaia 49 4 7" xfId="5169" xr:uid="{00000000-0005-0000-0000-00006C100000}"/>
    <cellStyle name="Migliaia 49 5" xfId="1223" xr:uid="{00000000-0005-0000-0000-00006D100000}"/>
    <cellStyle name="Migliaia 49 5 2" xfId="4012" xr:uid="{00000000-0005-0000-0000-00006E100000}"/>
    <cellStyle name="Migliaia 49 5 3" xfId="6148" xr:uid="{00000000-0005-0000-0000-00006F100000}"/>
    <cellStyle name="Migliaia 49 5 4" xfId="7093" xr:uid="{00000000-0005-0000-0000-000070100000}"/>
    <cellStyle name="Migliaia 49 5 5" xfId="5171" xr:uid="{00000000-0005-0000-0000-000071100000}"/>
    <cellStyle name="Migliaia 49 6" xfId="4013" xr:uid="{00000000-0005-0000-0000-000072100000}"/>
    <cellStyle name="Migliaia 49 7" xfId="6140" xr:uid="{00000000-0005-0000-0000-000073100000}"/>
    <cellStyle name="Migliaia 49 8" xfId="7085" xr:uid="{00000000-0005-0000-0000-000074100000}"/>
    <cellStyle name="Migliaia 49 9" xfId="5163" xr:uid="{00000000-0005-0000-0000-000075100000}"/>
    <cellStyle name="Migliaia 5" xfId="189" xr:uid="{00000000-0005-0000-0000-000076100000}"/>
    <cellStyle name="Migliaia 5 2" xfId="531" xr:uid="{00000000-0005-0000-0000-000077100000}"/>
    <cellStyle name="Migliaia 5 2 2" xfId="2532" xr:uid="{00000000-0005-0000-0000-000078100000}"/>
    <cellStyle name="Migliaia 5 2 2 2" xfId="4014" xr:uid="{00000000-0005-0000-0000-000079100000}"/>
    <cellStyle name="Migliaia 5 2 2 3" xfId="6151" xr:uid="{00000000-0005-0000-0000-00007A100000}"/>
    <cellStyle name="Migliaia 5 2 2 4" xfId="7096" xr:uid="{00000000-0005-0000-0000-00007B100000}"/>
    <cellStyle name="Migliaia 5 2 2 5" xfId="5174" xr:uid="{00000000-0005-0000-0000-00007C100000}"/>
    <cellStyle name="Migliaia 5 2 3" xfId="4015" xr:uid="{00000000-0005-0000-0000-00007D100000}"/>
    <cellStyle name="Migliaia 5 2 4" xfId="6150" xr:uid="{00000000-0005-0000-0000-00007E100000}"/>
    <cellStyle name="Migliaia 5 2 5" xfId="7095" xr:uid="{00000000-0005-0000-0000-00007F100000}"/>
    <cellStyle name="Migliaia 5 2 6" xfId="5173" xr:uid="{00000000-0005-0000-0000-000080100000}"/>
    <cellStyle name="Migliaia 5 3" xfId="1224" xr:uid="{00000000-0005-0000-0000-000081100000}"/>
    <cellStyle name="Migliaia 5 3 2" xfId="1225" xr:uid="{00000000-0005-0000-0000-000082100000}"/>
    <cellStyle name="Migliaia 5 3 2 2" xfId="4016" xr:uid="{00000000-0005-0000-0000-000083100000}"/>
    <cellStyle name="Migliaia 5 3 2 2 2" xfId="6154" xr:uid="{00000000-0005-0000-0000-000084100000}"/>
    <cellStyle name="Migliaia 5 3 2 2 3" xfId="7099" xr:uid="{00000000-0005-0000-0000-000085100000}"/>
    <cellStyle name="Migliaia 5 3 2 2 4" xfId="5177" xr:uid="{00000000-0005-0000-0000-000086100000}"/>
    <cellStyle name="Migliaia 5 3 2 3" xfId="4017" xr:uid="{00000000-0005-0000-0000-000087100000}"/>
    <cellStyle name="Migliaia 5 3 2 4" xfId="6153" xr:uid="{00000000-0005-0000-0000-000088100000}"/>
    <cellStyle name="Migliaia 5 3 2 5" xfId="7098" xr:uid="{00000000-0005-0000-0000-000089100000}"/>
    <cellStyle name="Migliaia 5 3 2 6" xfId="5176" xr:uid="{00000000-0005-0000-0000-00008A100000}"/>
    <cellStyle name="Migliaia 5 3 3" xfId="1226" xr:uid="{00000000-0005-0000-0000-00008B100000}"/>
    <cellStyle name="Migliaia 5 3 3 2" xfId="2534" xr:uid="{00000000-0005-0000-0000-00008C100000}"/>
    <cellStyle name="Migliaia 5 3 4" xfId="2533" xr:uid="{00000000-0005-0000-0000-00008D100000}"/>
    <cellStyle name="Migliaia 5 3 5" xfId="4018" xr:uid="{00000000-0005-0000-0000-00008E100000}"/>
    <cellStyle name="Migliaia 5 3 6" xfId="6152" xr:uid="{00000000-0005-0000-0000-00008F100000}"/>
    <cellStyle name="Migliaia 5 3 7" xfId="7097" xr:uid="{00000000-0005-0000-0000-000090100000}"/>
    <cellStyle name="Migliaia 5 3 8" xfId="5175" xr:uid="{00000000-0005-0000-0000-000091100000}"/>
    <cellStyle name="Migliaia 5 4" xfId="1227" xr:uid="{00000000-0005-0000-0000-000092100000}"/>
    <cellStyle name="Migliaia 5 4 2" xfId="1228" xr:uid="{00000000-0005-0000-0000-000093100000}"/>
    <cellStyle name="Migliaia 5 4 2 2" xfId="2536" xr:uid="{00000000-0005-0000-0000-000094100000}"/>
    <cellStyle name="Migliaia 5 4 2 3" xfId="4019" xr:uid="{00000000-0005-0000-0000-000095100000}"/>
    <cellStyle name="Migliaia 5 4 2 4" xfId="6156" xr:uid="{00000000-0005-0000-0000-000096100000}"/>
    <cellStyle name="Migliaia 5 4 2 5" xfId="7101" xr:uid="{00000000-0005-0000-0000-000097100000}"/>
    <cellStyle name="Migliaia 5 4 2 6" xfId="5179" xr:uid="{00000000-0005-0000-0000-000098100000}"/>
    <cellStyle name="Migliaia 5 4 3" xfId="2535" xr:uid="{00000000-0005-0000-0000-000099100000}"/>
    <cellStyle name="Migliaia 5 4 4" xfId="4020" xr:uid="{00000000-0005-0000-0000-00009A100000}"/>
    <cellStyle name="Migliaia 5 4 5" xfId="6155" xr:uid="{00000000-0005-0000-0000-00009B100000}"/>
    <cellStyle name="Migliaia 5 4 6" xfId="7100" xr:uid="{00000000-0005-0000-0000-00009C100000}"/>
    <cellStyle name="Migliaia 5 4 7" xfId="5178" xr:uid="{00000000-0005-0000-0000-00009D100000}"/>
    <cellStyle name="Migliaia 5 5" xfId="1229" xr:uid="{00000000-0005-0000-0000-00009E100000}"/>
    <cellStyle name="Migliaia 5 5 2" xfId="4021" xr:uid="{00000000-0005-0000-0000-00009F100000}"/>
    <cellStyle name="Migliaia 5 5 3" xfId="6157" xr:uid="{00000000-0005-0000-0000-0000A0100000}"/>
    <cellStyle name="Migliaia 5 5 4" xfId="7102" xr:uid="{00000000-0005-0000-0000-0000A1100000}"/>
    <cellStyle name="Migliaia 5 5 5" xfId="5180" xr:uid="{00000000-0005-0000-0000-0000A2100000}"/>
    <cellStyle name="Migliaia 5 6" xfId="4022" xr:uid="{00000000-0005-0000-0000-0000A3100000}"/>
    <cellStyle name="Migliaia 5 7" xfId="6149" xr:uid="{00000000-0005-0000-0000-0000A4100000}"/>
    <cellStyle name="Migliaia 5 8" xfId="7094" xr:uid="{00000000-0005-0000-0000-0000A5100000}"/>
    <cellStyle name="Migliaia 5 9" xfId="5172" xr:uid="{00000000-0005-0000-0000-0000A6100000}"/>
    <cellStyle name="Migliaia 50" xfId="190" xr:uid="{00000000-0005-0000-0000-0000A7100000}"/>
    <cellStyle name="Migliaia 50 2" xfId="532" xr:uid="{00000000-0005-0000-0000-0000A8100000}"/>
    <cellStyle name="Migliaia 50 2 2" xfId="2537" xr:uid="{00000000-0005-0000-0000-0000A9100000}"/>
    <cellStyle name="Migliaia 50 2 2 2" xfId="4023" xr:uid="{00000000-0005-0000-0000-0000AA100000}"/>
    <cellStyle name="Migliaia 50 2 2 3" xfId="6160" xr:uid="{00000000-0005-0000-0000-0000AB100000}"/>
    <cellStyle name="Migliaia 50 2 2 4" xfId="7105" xr:uid="{00000000-0005-0000-0000-0000AC100000}"/>
    <cellStyle name="Migliaia 50 2 2 5" xfId="5183" xr:uid="{00000000-0005-0000-0000-0000AD100000}"/>
    <cellStyle name="Migliaia 50 2 3" xfId="4024" xr:uid="{00000000-0005-0000-0000-0000AE100000}"/>
    <cellStyle name="Migliaia 50 2 4" xfId="6159" xr:uid="{00000000-0005-0000-0000-0000AF100000}"/>
    <cellStyle name="Migliaia 50 2 5" xfId="7104" xr:uid="{00000000-0005-0000-0000-0000B0100000}"/>
    <cellStyle name="Migliaia 50 2 6" xfId="5182" xr:uid="{00000000-0005-0000-0000-0000B1100000}"/>
    <cellStyle name="Migliaia 50 3" xfId="1230" xr:uid="{00000000-0005-0000-0000-0000B2100000}"/>
    <cellStyle name="Migliaia 50 3 2" xfId="1231" xr:uid="{00000000-0005-0000-0000-0000B3100000}"/>
    <cellStyle name="Migliaia 50 3 2 2" xfId="4025" xr:uid="{00000000-0005-0000-0000-0000B4100000}"/>
    <cellStyle name="Migliaia 50 3 2 2 2" xfId="6163" xr:uid="{00000000-0005-0000-0000-0000B5100000}"/>
    <cellStyle name="Migliaia 50 3 2 2 3" xfId="7108" xr:uid="{00000000-0005-0000-0000-0000B6100000}"/>
    <cellStyle name="Migliaia 50 3 2 2 4" xfId="5186" xr:uid="{00000000-0005-0000-0000-0000B7100000}"/>
    <cellStyle name="Migliaia 50 3 2 3" xfId="4026" xr:uid="{00000000-0005-0000-0000-0000B8100000}"/>
    <cellStyle name="Migliaia 50 3 2 4" xfId="6162" xr:uid="{00000000-0005-0000-0000-0000B9100000}"/>
    <cellStyle name="Migliaia 50 3 2 5" xfId="7107" xr:uid="{00000000-0005-0000-0000-0000BA100000}"/>
    <cellStyle name="Migliaia 50 3 2 6" xfId="5185" xr:uid="{00000000-0005-0000-0000-0000BB100000}"/>
    <cellStyle name="Migliaia 50 3 3" xfId="1232" xr:uid="{00000000-0005-0000-0000-0000BC100000}"/>
    <cellStyle name="Migliaia 50 3 3 2" xfId="2539" xr:uid="{00000000-0005-0000-0000-0000BD100000}"/>
    <cellStyle name="Migliaia 50 3 4" xfId="2538" xr:uid="{00000000-0005-0000-0000-0000BE100000}"/>
    <cellStyle name="Migliaia 50 3 5" xfId="4027" xr:uid="{00000000-0005-0000-0000-0000BF100000}"/>
    <cellStyle name="Migliaia 50 3 6" xfId="6161" xr:uid="{00000000-0005-0000-0000-0000C0100000}"/>
    <cellStyle name="Migliaia 50 3 7" xfId="7106" xr:uid="{00000000-0005-0000-0000-0000C1100000}"/>
    <cellStyle name="Migliaia 50 3 8" xfId="5184" xr:uid="{00000000-0005-0000-0000-0000C2100000}"/>
    <cellStyle name="Migliaia 50 4" xfId="1233" xr:uid="{00000000-0005-0000-0000-0000C3100000}"/>
    <cellStyle name="Migliaia 50 4 2" xfId="1234" xr:uid="{00000000-0005-0000-0000-0000C4100000}"/>
    <cellStyle name="Migliaia 50 4 2 2" xfId="2541" xr:uid="{00000000-0005-0000-0000-0000C5100000}"/>
    <cellStyle name="Migliaia 50 4 2 3" xfId="4028" xr:uid="{00000000-0005-0000-0000-0000C6100000}"/>
    <cellStyle name="Migliaia 50 4 2 4" xfId="6165" xr:uid="{00000000-0005-0000-0000-0000C7100000}"/>
    <cellStyle name="Migliaia 50 4 2 5" xfId="7110" xr:uid="{00000000-0005-0000-0000-0000C8100000}"/>
    <cellStyle name="Migliaia 50 4 2 6" xfId="5188" xr:uid="{00000000-0005-0000-0000-0000C9100000}"/>
    <cellStyle name="Migliaia 50 4 3" xfId="2540" xr:uid="{00000000-0005-0000-0000-0000CA100000}"/>
    <cellStyle name="Migliaia 50 4 4" xfId="4029" xr:uid="{00000000-0005-0000-0000-0000CB100000}"/>
    <cellStyle name="Migliaia 50 4 5" xfId="6164" xr:uid="{00000000-0005-0000-0000-0000CC100000}"/>
    <cellStyle name="Migliaia 50 4 6" xfId="7109" xr:uid="{00000000-0005-0000-0000-0000CD100000}"/>
    <cellStyle name="Migliaia 50 4 7" xfId="5187" xr:uid="{00000000-0005-0000-0000-0000CE100000}"/>
    <cellStyle name="Migliaia 50 5" xfId="1235" xr:uid="{00000000-0005-0000-0000-0000CF100000}"/>
    <cellStyle name="Migliaia 50 5 2" xfId="4030" xr:uid="{00000000-0005-0000-0000-0000D0100000}"/>
    <cellStyle name="Migliaia 50 5 3" xfId="6166" xr:uid="{00000000-0005-0000-0000-0000D1100000}"/>
    <cellStyle name="Migliaia 50 5 4" xfId="7111" xr:uid="{00000000-0005-0000-0000-0000D2100000}"/>
    <cellStyle name="Migliaia 50 5 5" xfId="5189" xr:uid="{00000000-0005-0000-0000-0000D3100000}"/>
    <cellStyle name="Migliaia 50 6" xfId="4031" xr:uid="{00000000-0005-0000-0000-0000D4100000}"/>
    <cellStyle name="Migliaia 50 7" xfId="6158" xr:uid="{00000000-0005-0000-0000-0000D5100000}"/>
    <cellStyle name="Migliaia 50 8" xfId="7103" xr:uid="{00000000-0005-0000-0000-0000D6100000}"/>
    <cellStyle name="Migliaia 50 9" xfId="5181" xr:uid="{00000000-0005-0000-0000-0000D7100000}"/>
    <cellStyle name="Migliaia 51" xfId="191" xr:uid="{00000000-0005-0000-0000-0000D8100000}"/>
    <cellStyle name="Migliaia 51 2" xfId="533" xr:uid="{00000000-0005-0000-0000-0000D9100000}"/>
    <cellStyle name="Migliaia 51 2 2" xfId="2542" xr:uid="{00000000-0005-0000-0000-0000DA100000}"/>
    <cellStyle name="Migliaia 51 2 2 2" xfId="4032" xr:uid="{00000000-0005-0000-0000-0000DB100000}"/>
    <cellStyle name="Migliaia 51 2 2 3" xfId="6169" xr:uid="{00000000-0005-0000-0000-0000DC100000}"/>
    <cellStyle name="Migliaia 51 2 2 4" xfId="7114" xr:uid="{00000000-0005-0000-0000-0000DD100000}"/>
    <cellStyle name="Migliaia 51 2 2 5" xfId="5192" xr:uid="{00000000-0005-0000-0000-0000DE100000}"/>
    <cellStyle name="Migliaia 51 2 3" xfId="4033" xr:uid="{00000000-0005-0000-0000-0000DF100000}"/>
    <cellStyle name="Migliaia 51 2 4" xfId="6168" xr:uid="{00000000-0005-0000-0000-0000E0100000}"/>
    <cellStyle name="Migliaia 51 2 5" xfId="7113" xr:uid="{00000000-0005-0000-0000-0000E1100000}"/>
    <cellStyle name="Migliaia 51 2 6" xfId="5191" xr:uid="{00000000-0005-0000-0000-0000E2100000}"/>
    <cellStyle name="Migliaia 51 3" xfId="1236" xr:uid="{00000000-0005-0000-0000-0000E3100000}"/>
    <cellStyle name="Migliaia 51 3 2" xfId="1237" xr:uid="{00000000-0005-0000-0000-0000E4100000}"/>
    <cellStyle name="Migliaia 51 3 2 2" xfId="4034" xr:uid="{00000000-0005-0000-0000-0000E5100000}"/>
    <cellStyle name="Migliaia 51 3 2 2 2" xfId="6172" xr:uid="{00000000-0005-0000-0000-0000E6100000}"/>
    <cellStyle name="Migliaia 51 3 2 2 3" xfId="7117" xr:uid="{00000000-0005-0000-0000-0000E7100000}"/>
    <cellStyle name="Migliaia 51 3 2 2 4" xfId="5195" xr:uid="{00000000-0005-0000-0000-0000E8100000}"/>
    <cellStyle name="Migliaia 51 3 2 3" xfId="4035" xr:uid="{00000000-0005-0000-0000-0000E9100000}"/>
    <cellStyle name="Migliaia 51 3 2 4" xfId="6171" xr:uid="{00000000-0005-0000-0000-0000EA100000}"/>
    <cellStyle name="Migliaia 51 3 2 5" xfId="7116" xr:uid="{00000000-0005-0000-0000-0000EB100000}"/>
    <cellStyle name="Migliaia 51 3 2 6" xfId="5194" xr:uid="{00000000-0005-0000-0000-0000EC100000}"/>
    <cellStyle name="Migliaia 51 3 3" xfId="1238" xr:uid="{00000000-0005-0000-0000-0000ED100000}"/>
    <cellStyle name="Migliaia 51 3 3 2" xfId="2544" xr:uid="{00000000-0005-0000-0000-0000EE100000}"/>
    <cellStyle name="Migliaia 51 3 4" xfId="2543" xr:uid="{00000000-0005-0000-0000-0000EF100000}"/>
    <cellStyle name="Migliaia 51 3 5" xfId="4036" xr:uid="{00000000-0005-0000-0000-0000F0100000}"/>
    <cellStyle name="Migliaia 51 3 6" xfId="6170" xr:uid="{00000000-0005-0000-0000-0000F1100000}"/>
    <cellStyle name="Migliaia 51 3 7" xfId="7115" xr:uid="{00000000-0005-0000-0000-0000F2100000}"/>
    <cellStyle name="Migliaia 51 3 8" xfId="5193" xr:uid="{00000000-0005-0000-0000-0000F3100000}"/>
    <cellStyle name="Migliaia 51 4" xfId="1239" xr:uid="{00000000-0005-0000-0000-0000F4100000}"/>
    <cellStyle name="Migliaia 51 4 2" xfId="1240" xr:uid="{00000000-0005-0000-0000-0000F5100000}"/>
    <cellStyle name="Migliaia 51 4 2 2" xfId="2546" xr:uid="{00000000-0005-0000-0000-0000F6100000}"/>
    <cellStyle name="Migliaia 51 4 2 3" xfId="4037" xr:uid="{00000000-0005-0000-0000-0000F7100000}"/>
    <cellStyle name="Migliaia 51 4 2 4" xfId="6174" xr:uid="{00000000-0005-0000-0000-0000F8100000}"/>
    <cellStyle name="Migliaia 51 4 2 5" xfId="7119" xr:uid="{00000000-0005-0000-0000-0000F9100000}"/>
    <cellStyle name="Migliaia 51 4 2 6" xfId="5197" xr:uid="{00000000-0005-0000-0000-0000FA100000}"/>
    <cellStyle name="Migliaia 51 4 3" xfId="2545" xr:uid="{00000000-0005-0000-0000-0000FB100000}"/>
    <cellStyle name="Migliaia 51 4 4" xfId="4038" xr:uid="{00000000-0005-0000-0000-0000FC100000}"/>
    <cellStyle name="Migliaia 51 4 5" xfId="6173" xr:uid="{00000000-0005-0000-0000-0000FD100000}"/>
    <cellStyle name="Migliaia 51 4 6" xfId="7118" xr:uid="{00000000-0005-0000-0000-0000FE100000}"/>
    <cellStyle name="Migliaia 51 4 7" xfId="5196" xr:uid="{00000000-0005-0000-0000-0000FF100000}"/>
    <cellStyle name="Migliaia 51 5" xfId="1241" xr:uid="{00000000-0005-0000-0000-000000110000}"/>
    <cellStyle name="Migliaia 51 5 2" xfId="4039" xr:uid="{00000000-0005-0000-0000-000001110000}"/>
    <cellStyle name="Migliaia 51 5 3" xfId="6175" xr:uid="{00000000-0005-0000-0000-000002110000}"/>
    <cellStyle name="Migliaia 51 5 4" xfId="7120" xr:uid="{00000000-0005-0000-0000-000003110000}"/>
    <cellStyle name="Migliaia 51 5 5" xfId="5198" xr:uid="{00000000-0005-0000-0000-000004110000}"/>
    <cellStyle name="Migliaia 51 6" xfId="4040" xr:uid="{00000000-0005-0000-0000-000005110000}"/>
    <cellStyle name="Migliaia 51 7" xfId="6167" xr:uid="{00000000-0005-0000-0000-000006110000}"/>
    <cellStyle name="Migliaia 51 8" xfId="7112" xr:uid="{00000000-0005-0000-0000-000007110000}"/>
    <cellStyle name="Migliaia 51 9" xfId="5190" xr:uid="{00000000-0005-0000-0000-000008110000}"/>
    <cellStyle name="Migliaia 52" xfId="192" xr:uid="{00000000-0005-0000-0000-000009110000}"/>
    <cellStyle name="Migliaia 52 2" xfId="534" xr:uid="{00000000-0005-0000-0000-00000A110000}"/>
    <cellStyle name="Migliaia 52 2 2" xfId="2547" xr:uid="{00000000-0005-0000-0000-00000B110000}"/>
    <cellStyle name="Migliaia 52 2 2 2" xfId="4041" xr:uid="{00000000-0005-0000-0000-00000C110000}"/>
    <cellStyle name="Migliaia 52 2 2 3" xfId="6178" xr:uid="{00000000-0005-0000-0000-00000D110000}"/>
    <cellStyle name="Migliaia 52 2 2 4" xfId="7123" xr:uid="{00000000-0005-0000-0000-00000E110000}"/>
    <cellStyle name="Migliaia 52 2 2 5" xfId="5201" xr:uid="{00000000-0005-0000-0000-00000F110000}"/>
    <cellStyle name="Migliaia 52 2 3" xfId="4042" xr:uid="{00000000-0005-0000-0000-000010110000}"/>
    <cellStyle name="Migliaia 52 2 4" xfId="6177" xr:uid="{00000000-0005-0000-0000-000011110000}"/>
    <cellStyle name="Migliaia 52 2 5" xfId="7122" xr:uid="{00000000-0005-0000-0000-000012110000}"/>
    <cellStyle name="Migliaia 52 2 6" xfId="5200" xr:uid="{00000000-0005-0000-0000-000013110000}"/>
    <cellStyle name="Migliaia 52 3" xfId="1242" xr:uid="{00000000-0005-0000-0000-000014110000}"/>
    <cellStyle name="Migliaia 52 3 2" xfId="1243" xr:uid="{00000000-0005-0000-0000-000015110000}"/>
    <cellStyle name="Migliaia 52 3 2 2" xfId="4043" xr:uid="{00000000-0005-0000-0000-000016110000}"/>
    <cellStyle name="Migliaia 52 3 2 2 2" xfId="6181" xr:uid="{00000000-0005-0000-0000-000017110000}"/>
    <cellStyle name="Migliaia 52 3 2 2 3" xfId="7126" xr:uid="{00000000-0005-0000-0000-000018110000}"/>
    <cellStyle name="Migliaia 52 3 2 2 4" xfId="5204" xr:uid="{00000000-0005-0000-0000-000019110000}"/>
    <cellStyle name="Migliaia 52 3 2 3" xfId="4044" xr:uid="{00000000-0005-0000-0000-00001A110000}"/>
    <cellStyle name="Migliaia 52 3 2 4" xfId="6180" xr:uid="{00000000-0005-0000-0000-00001B110000}"/>
    <cellStyle name="Migliaia 52 3 2 5" xfId="7125" xr:uid="{00000000-0005-0000-0000-00001C110000}"/>
    <cellStyle name="Migliaia 52 3 2 6" xfId="5203" xr:uid="{00000000-0005-0000-0000-00001D110000}"/>
    <cellStyle name="Migliaia 52 3 3" xfId="1244" xr:uid="{00000000-0005-0000-0000-00001E110000}"/>
    <cellStyle name="Migliaia 52 3 3 2" xfId="2549" xr:uid="{00000000-0005-0000-0000-00001F110000}"/>
    <cellStyle name="Migliaia 52 3 4" xfId="2548" xr:uid="{00000000-0005-0000-0000-000020110000}"/>
    <cellStyle name="Migliaia 52 3 5" xfId="4045" xr:uid="{00000000-0005-0000-0000-000021110000}"/>
    <cellStyle name="Migliaia 52 3 6" xfId="6179" xr:uid="{00000000-0005-0000-0000-000022110000}"/>
    <cellStyle name="Migliaia 52 3 7" xfId="7124" xr:uid="{00000000-0005-0000-0000-000023110000}"/>
    <cellStyle name="Migliaia 52 3 8" xfId="5202" xr:uid="{00000000-0005-0000-0000-000024110000}"/>
    <cellStyle name="Migliaia 52 4" xfId="1245" xr:uid="{00000000-0005-0000-0000-000025110000}"/>
    <cellStyle name="Migliaia 52 4 2" xfId="1246" xr:uid="{00000000-0005-0000-0000-000026110000}"/>
    <cellStyle name="Migliaia 52 4 2 2" xfId="2551" xr:uid="{00000000-0005-0000-0000-000027110000}"/>
    <cellStyle name="Migliaia 52 4 2 3" xfId="4046" xr:uid="{00000000-0005-0000-0000-000028110000}"/>
    <cellStyle name="Migliaia 52 4 2 4" xfId="6183" xr:uid="{00000000-0005-0000-0000-000029110000}"/>
    <cellStyle name="Migliaia 52 4 2 5" xfId="7128" xr:uid="{00000000-0005-0000-0000-00002A110000}"/>
    <cellStyle name="Migliaia 52 4 2 6" xfId="5206" xr:uid="{00000000-0005-0000-0000-00002B110000}"/>
    <cellStyle name="Migliaia 52 4 3" xfId="2550" xr:uid="{00000000-0005-0000-0000-00002C110000}"/>
    <cellStyle name="Migliaia 52 4 4" xfId="4047" xr:uid="{00000000-0005-0000-0000-00002D110000}"/>
    <cellStyle name="Migliaia 52 4 5" xfId="6182" xr:uid="{00000000-0005-0000-0000-00002E110000}"/>
    <cellStyle name="Migliaia 52 4 6" xfId="7127" xr:uid="{00000000-0005-0000-0000-00002F110000}"/>
    <cellStyle name="Migliaia 52 4 7" xfId="5205" xr:uid="{00000000-0005-0000-0000-000030110000}"/>
    <cellStyle name="Migliaia 52 5" xfId="1247" xr:uid="{00000000-0005-0000-0000-000031110000}"/>
    <cellStyle name="Migliaia 52 5 2" xfId="4048" xr:uid="{00000000-0005-0000-0000-000032110000}"/>
    <cellStyle name="Migliaia 52 5 3" xfId="6184" xr:uid="{00000000-0005-0000-0000-000033110000}"/>
    <cellStyle name="Migliaia 52 5 4" xfId="7129" xr:uid="{00000000-0005-0000-0000-000034110000}"/>
    <cellStyle name="Migliaia 52 5 5" xfId="5207" xr:uid="{00000000-0005-0000-0000-000035110000}"/>
    <cellStyle name="Migliaia 52 6" xfId="4049" xr:uid="{00000000-0005-0000-0000-000036110000}"/>
    <cellStyle name="Migliaia 52 7" xfId="6176" xr:uid="{00000000-0005-0000-0000-000037110000}"/>
    <cellStyle name="Migliaia 52 8" xfId="7121" xr:uid="{00000000-0005-0000-0000-000038110000}"/>
    <cellStyle name="Migliaia 52 9" xfId="5199" xr:uid="{00000000-0005-0000-0000-000039110000}"/>
    <cellStyle name="Migliaia 53" xfId="193" xr:uid="{00000000-0005-0000-0000-00003A110000}"/>
    <cellStyle name="Migliaia 53 2" xfId="535" xr:uid="{00000000-0005-0000-0000-00003B110000}"/>
    <cellStyle name="Migliaia 53 2 2" xfId="2552" xr:uid="{00000000-0005-0000-0000-00003C110000}"/>
    <cellStyle name="Migliaia 53 2 2 2" xfId="4050" xr:uid="{00000000-0005-0000-0000-00003D110000}"/>
    <cellStyle name="Migliaia 53 2 2 3" xfId="6187" xr:uid="{00000000-0005-0000-0000-00003E110000}"/>
    <cellStyle name="Migliaia 53 2 2 4" xfId="7132" xr:uid="{00000000-0005-0000-0000-00003F110000}"/>
    <cellStyle name="Migliaia 53 2 2 5" xfId="5210" xr:uid="{00000000-0005-0000-0000-000040110000}"/>
    <cellStyle name="Migliaia 53 2 3" xfId="4051" xr:uid="{00000000-0005-0000-0000-000041110000}"/>
    <cellStyle name="Migliaia 53 2 4" xfId="6186" xr:uid="{00000000-0005-0000-0000-000042110000}"/>
    <cellStyle name="Migliaia 53 2 5" xfId="7131" xr:uid="{00000000-0005-0000-0000-000043110000}"/>
    <cellStyle name="Migliaia 53 2 6" xfId="5209" xr:uid="{00000000-0005-0000-0000-000044110000}"/>
    <cellStyle name="Migliaia 53 3" xfId="1248" xr:uid="{00000000-0005-0000-0000-000045110000}"/>
    <cellStyle name="Migliaia 53 3 2" xfId="1249" xr:uid="{00000000-0005-0000-0000-000046110000}"/>
    <cellStyle name="Migliaia 53 3 2 2" xfId="4052" xr:uid="{00000000-0005-0000-0000-000047110000}"/>
    <cellStyle name="Migliaia 53 3 2 2 2" xfId="6190" xr:uid="{00000000-0005-0000-0000-000048110000}"/>
    <cellStyle name="Migliaia 53 3 2 2 3" xfId="7135" xr:uid="{00000000-0005-0000-0000-000049110000}"/>
    <cellStyle name="Migliaia 53 3 2 2 4" xfId="5213" xr:uid="{00000000-0005-0000-0000-00004A110000}"/>
    <cellStyle name="Migliaia 53 3 2 3" xfId="4053" xr:uid="{00000000-0005-0000-0000-00004B110000}"/>
    <cellStyle name="Migliaia 53 3 2 4" xfId="6189" xr:uid="{00000000-0005-0000-0000-00004C110000}"/>
    <cellStyle name="Migliaia 53 3 2 5" xfId="7134" xr:uid="{00000000-0005-0000-0000-00004D110000}"/>
    <cellStyle name="Migliaia 53 3 2 6" xfId="5212" xr:uid="{00000000-0005-0000-0000-00004E110000}"/>
    <cellStyle name="Migliaia 53 3 3" xfId="1250" xr:uid="{00000000-0005-0000-0000-00004F110000}"/>
    <cellStyle name="Migliaia 53 3 3 2" xfId="2554" xr:uid="{00000000-0005-0000-0000-000050110000}"/>
    <cellStyle name="Migliaia 53 3 4" xfId="2553" xr:uid="{00000000-0005-0000-0000-000051110000}"/>
    <cellStyle name="Migliaia 53 3 5" xfId="4054" xr:uid="{00000000-0005-0000-0000-000052110000}"/>
    <cellStyle name="Migliaia 53 3 6" xfId="6188" xr:uid="{00000000-0005-0000-0000-000053110000}"/>
    <cellStyle name="Migliaia 53 3 7" xfId="7133" xr:uid="{00000000-0005-0000-0000-000054110000}"/>
    <cellStyle name="Migliaia 53 3 8" xfId="5211" xr:uid="{00000000-0005-0000-0000-000055110000}"/>
    <cellStyle name="Migliaia 53 4" xfId="1251" xr:uid="{00000000-0005-0000-0000-000056110000}"/>
    <cellStyle name="Migliaia 53 4 2" xfId="1252" xr:uid="{00000000-0005-0000-0000-000057110000}"/>
    <cellStyle name="Migliaia 53 4 2 2" xfId="2556" xr:uid="{00000000-0005-0000-0000-000058110000}"/>
    <cellStyle name="Migliaia 53 4 2 3" xfId="4055" xr:uid="{00000000-0005-0000-0000-000059110000}"/>
    <cellStyle name="Migliaia 53 4 2 4" xfId="6192" xr:uid="{00000000-0005-0000-0000-00005A110000}"/>
    <cellStyle name="Migliaia 53 4 2 5" xfId="7137" xr:uid="{00000000-0005-0000-0000-00005B110000}"/>
    <cellStyle name="Migliaia 53 4 2 6" xfId="5215" xr:uid="{00000000-0005-0000-0000-00005C110000}"/>
    <cellStyle name="Migliaia 53 4 3" xfId="2555" xr:uid="{00000000-0005-0000-0000-00005D110000}"/>
    <cellStyle name="Migliaia 53 4 4" xfId="4056" xr:uid="{00000000-0005-0000-0000-00005E110000}"/>
    <cellStyle name="Migliaia 53 4 5" xfId="6191" xr:uid="{00000000-0005-0000-0000-00005F110000}"/>
    <cellStyle name="Migliaia 53 4 6" xfId="7136" xr:uid="{00000000-0005-0000-0000-000060110000}"/>
    <cellStyle name="Migliaia 53 4 7" xfId="5214" xr:uid="{00000000-0005-0000-0000-000061110000}"/>
    <cellStyle name="Migliaia 53 5" xfId="1253" xr:uid="{00000000-0005-0000-0000-000062110000}"/>
    <cellStyle name="Migliaia 53 5 2" xfId="4057" xr:uid="{00000000-0005-0000-0000-000063110000}"/>
    <cellStyle name="Migliaia 53 5 3" xfId="6193" xr:uid="{00000000-0005-0000-0000-000064110000}"/>
    <cellStyle name="Migliaia 53 5 4" xfId="7138" xr:uid="{00000000-0005-0000-0000-000065110000}"/>
    <cellStyle name="Migliaia 53 5 5" xfId="5216" xr:uid="{00000000-0005-0000-0000-000066110000}"/>
    <cellStyle name="Migliaia 53 6" xfId="4058" xr:uid="{00000000-0005-0000-0000-000067110000}"/>
    <cellStyle name="Migliaia 53 7" xfId="6185" xr:uid="{00000000-0005-0000-0000-000068110000}"/>
    <cellStyle name="Migliaia 53 8" xfId="7130" xr:uid="{00000000-0005-0000-0000-000069110000}"/>
    <cellStyle name="Migliaia 53 9" xfId="5208" xr:uid="{00000000-0005-0000-0000-00006A110000}"/>
    <cellStyle name="Migliaia 54" xfId="194" xr:uid="{00000000-0005-0000-0000-00006B110000}"/>
    <cellStyle name="Migliaia 54 2" xfId="536" xr:uid="{00000000-0005-0000-0000-00006C110000}"/>
    <cellStyle name="Migliaia 54 2 2" xfId="2557" xr:uid="{00000000-0005-0000-0000-00006D110000}"/>
    <cellStyle name="Migliaia 54 2 2 2" xfId="4059" xr:uid="{00000000-0005-0000-0000-00006E110000}"/>
    <cellStyle name="Migliaia 54 2 2 3" xfId="6196" xr:uid="{00000000-0005-0000-0000-00006F110000}"/>
    <cellStyle name="Migliaia 54 2 2 4" xfId="7141" xr:uid="{00000000-0005-0000-0000-000070110000}"/>
    <cellStyle name="Migliaia 54 2 2 5" xfId="5219" xr:uid="{00000000-0005-0000-0000-000071110000}"/>
    <cellStyle name="Migliaia 54 2 3" xfId="4060" xr:uid="{00000000-0005-0000-0000-000072110000}"/>
    <cellStyle name="Migliaia 54 2 4" xfId="6195" xr:uid="{00000000-0005-0000-0000-000073110000}"/>
    <cellStyle name="Migliaia 54 2 5" xfId="7140" xr:uid="{00000000-0005-0000-0000-000074110000}"/>
    <cellStyle name="Migliaia 54 2 6" xfId="5218" xr:uid="{00000000-0005-0000-0000-000075110000}"/>
    <cellStyle name="Migliaia 54 3" xfId="1254" xr:uid="{00000000-0005-0000-0000-000076110000}"/>
    <cellStyle name="Migliaia 54 3 2" xfId="1255" xr:uid="{00000000-0005-0000-0000-000077110000}"/>
    <cellStyle name="Migliaia 54 3 2 2" xfId="4061" xr:uid="{00000000-0005-0000-0000-000078110000}"/>
    <cellStyle name="Migliaia 54 3 2 2 2" xfId="6199" xr:uid="{00000000-0005-0000-0000-000079110000}"/>
    <cellStyle name="Migliaia 54 3 2 2 3" xfId="7144" xr:uid="{00000000-0005-0000-0000-00007A110000}"/>
    <cellStyle name="Migliaia 54 3 2 2 4" xfId="5222" xr:uid="{00000000-0005-0000-0000-00007B110000}"/>
    <cellStyle name="Migliaia 54 3 2 3" xfId="4062" xr:uid="{00000000-0005-0000-0000-00007C110000}"/>
    <cellStyle name="Migliaia 54 3 2 4" xfId="6198" xr:uid="{00000000-0005-0000-0000-00007D110000}"/>
    <cellStyle name="Migliaia 54 3 2 5" xfId="7143" xr:uid="{00000000-0005-0000-0000-00007E110000}"/>
    <cellStyle name="Migliaia 54 3 2 6" xfId="5221" xr:uid="{00000000-0005-0000-0000-00007F110000}"/>
    <cellStyle name="Migliaia 54 3 3" xfId="1256" xr:uid="{00000000-0005-0000-0000-000080110000}"/>
    <cellStyle name="Migliaia 54 3 3 2" xfId="2559" xr:uid="{00000000-0005-0000-0000-000081110000}"/>
    <cellStyle name="Migliaia 54 3 4" xfId="2558" xr:uid="{00000000-0005-0000-0000-000082110000}"/>
    <cellStyle name="Migliaia 54 3 5" xfId="4063" xr:uid="{00000000-0005-0000-0000-000083110000}"/>
    <cellStyle name="Migliaia 54 3 6" xfId="6197" xr:uid="{00000000-0005-0000-0000-000084110000}"/>
    <cellStyle name="Migliaia 54 3 7" xfId="7142" xr:uid="{00000000-0005-0000-0000-000085110000}"/>
    <cellStyle name="Migliaia 54 3 8" xfId="5220" xr:uid="{00000000-0005-0000-0000-000086110000}"/>
    <cellStyle name="Migliaia 54 4" xfId="1257" xr:uid="{00000000-0005-0000-0000-000087110000}"/>
    <cellStyle name="Migliaia 54 4 2" xfId="1258" xr:uid="{00000000-0005-0000-0000-000088110000}"/>
    <cellStyle name="Migliaia 54 4 2 2" xfId="2561" xr:uid="{00000000-0005-0000-0000-000089110000}"/>
    <cellStyle name="Migliaia 54 4 2 3" xfId="4064" xr:uid="{00000000-0005-0000-0000-00008A110000}"/>
    <cellStyle name="Migliaia 54 4 2 4" xfId="6201" xr:uid="{00000000-0005-0000-0000-00008B110000}"/>
    <cellStyle name="Migliaia 54 4 2 5" xfId="7146" xr:uid="{00000000-0005-0000-0000-00008C110000}"/>
    <cellStyle name="Migliaia 54 4 2 6" xfId="5224" xr:uid="{00000000-0005-0000-0000-00008D110000}"/>
    <cellStyle name="Migliaia 54 4 3" xfId="2560" xr:uid="{00000000-0005-0000-0000-00008E110000}"/>
    <cellStyle name="Migliaia 54 4 4" xfId="4065" xr:uid="{00000000-0005-0000-0000-00008F110000}"/>
    <cellStyle name="Migliaia 54 4 5" xfId="6200" xr:uid="{00000000-0005-0000-0000-000090110000}"/>
    <cellStyle name="Migliaia 54 4 6" xfId="7145" xr:uid="{00000000-0005-0000-0000-000091110000}"/>
    <cellStyle name="Migliaia 54 4 7" xfId="5223" xr:uid="{00000000-0005-0000-0000-000092110000}"/>
    <cellStyle name="Migliaia 54 5" xfId="1259" xr:uid="{00000000-0005-0000-0000-000093110000}"/>
    <cellStyle name="Migliaia 54 5 2" xfId="4066" xr:uid="{00000000-0005-0000-0000-000094110000}"/>
    <cellStyle name="Migliaia 54 5 3" xfId="6202" xr:uid="{00000000-0005-0000-0000-000095110000}"/>
    <cellStyle name="Migliaia 54 5 4" xfId="7147" xr:uid="{00000000-0005-0000-0000-000096110000}"/>
    <cellStyle name="Migliaia 54 5 5" xfId="5225" xr:uid="{00000000-0005-0000-0000-000097110000}"/>
    <cellStyle name="Migliaia 54 6" xfId="4067" xr:uid="{00000000-0005-0000-0000-000098110000}"/>
    <cellStyle name="Migliaia 54 7" xfId="6194" xr:uid="{00000000-0005-0000-0000-000099110000}"/>
    <cellStyle name="Migliaia 54 8" xfId="7139" xr:uid="{00000000-0005-0000-0000-00009A110000}"/>
    <cellStyle name="Migliaia 54 9" xfId="5217" xr:uid="{00000000-0005-0000-0000-00009B110000}"/>
    <cellStyle name="Migliaia 55" xfId="195" xr:uid="{00000000-0005-0000-0000-00009C110000}"/>
    <cellStyle name="Migliaia 55 2" xfId="537" xr:uid="{00000000-0005-0000-0000-00009D110000}"/>
    <cellStyle name="Migliaia 55 2 2" xfId="2562" xr:uid="{00000000-0005-0000-0000-00009E110000}"/>
    <cellStyle name="Migliaia 55 2 2 2" xfId="4068" xr:uid="{00000000-0005-0000-0000-00009F110000}"/>
    <cellStyle name="Migliaia 55 2 2 3" xfId="6205" xr:uid="{00000000-0005-0000-0000-0000A0110000}"/>
    <cellStyle name="Migliaia 55 2 2 4" xfId="7150" xr:uid="{00000000-0005-0000-0000-0000A1110000}"/>
    <cellStyle name="Migliaia 55 2 2 5" xfId="5228" xr:uid="{00000000-0005-0000-0000-0000A2110000}"/>
    <cellStyle name="Migliaia 55 2 3" xfId="4069" xr:uid="{00000000-0005-0000-0000-0000A3110000}"/>
    <cellStyle name="Migliaia 55 2 4" xfId="6204" xr:uid="{00000000-0005-0000-0000-0000A4110000}"/>
    <cellStyle name="Migliaia 55 2 5" xfId="7149" xr:uid="{00000000-0005-0000-0000-0000A5110000}"/>
    <cellStyle name="Migliaia 55 2 6" xfId="5227" xr:uid="{00000000-0005-0000-0000-0000A6110000}"/>
    <cellStyle name="Migliaia 55 3" xfId="1260" xr:uid="{00000000-0005-0000-0000-0000A7110000}"/>
    <cellStyle name="Migliaia 55 3 2" xfId="1261" xr:uid="{00000000-0005-0000-0000-0000A8110000}"/>
    <cellStyle name="Migliaia 55 3 2 2" xfId="4070" xr:uid="{00000000-0005-0000-0000-0000A9110000}"/>
    <cellStyle name="Migliaia 55 3 2 2 2" xfId="6208" xr:uid="{00000000-0005-0000-0000-0000AA110000}"/>
    <cellStyle name="Migliaia 55 3 2 2 3" xfId="7153" xr:uid="{00000000-0005-0000-0000-0000AB110000}"/>
    <cellStyle name="Migliaia 55 3 2 2 4" xfId="5231" xr:uid="{00000000-0005-0000-0000-0000AC110000}"/>
    <cellStyle name="Migliaia 55 3 2 3" xfId="4071" xr:uid="{00000000-0005-0000-0000-0000AD110000}"/>
    <cellStyle name="Migliaia 55 3 2 4" xfId="6207" xr:uid="{00000000-0005-0000-0000-0000AE110000}"/>
    <cellStyle name="Migliaia 55 3 2 5" xfId="7152" xr:uid="{00000000-0005-0000-0000-0000AF110000}"/>
    <cellStyle name="Migliaia 55 3 2 6" xfId="5230" xr:uid="{00000000-0005-0000-0000-0000B0110000}"/>
    <cellStyle name="Migliaia 55 3 3" xfId="1262" xr:uid="{00000000-0005-0000-0000-0000B1110000}"/>
    <cellStyle name="Migliaia 55 3 3 2" xfId="2564" xr:uid="{00000000-0005-0000-0000-0000B2110000}"/>
    <cellStyle name="Migliaia 55 3 4" xfId="2563" xr:uid="{00000000-0005-0000-0000-0000B3110000}"/>
    <cellStyle name="Migliaia 55 3 5" xfId="4072" xr:uid="{00000000-0005-0000-0000-0000B4110000}"/>
    <cellStyle name="Migliaia 55 3 6" xfId="6206" xr:uid="{00000000-0005-0000-0000-0000B5110000}"/>
    <cellStyle name="Migliaia 55 3 7" xfId="7151" xr:uid="{00000000-0005-0000-0000-0000B6110000}"/>
    <cellStyle name="Migliaia 55 3 8" xfId="5229" xr:uid="{00000000-0005-0000-0000-0000B7110000}"/>
    <cellStyle name="Migliaia 55 4" xfId="1263" xr:uid="{00000000-0005-0000-0000-0000B8110000}"/>
    <cellStyle name="Migliaia 55 4 2" xfId="1264" xr:uid="{00000000-0005-0000-0000-0000B9110000}"/>
    <cellStyle name="Migliaia 55 4 2 2" xfId="2566" xr:uid="{00000000-0005-0000-0000-0000BA110000}"/>
    <cellStyle name="Migliaia 55 4 2 3" xfId="4073" xr:uid="{00000000-0005-0000-0000-0000BB110000}"/>
    <cellStyle name="Migliaia 55 4 2 4" xfId="6210" xr:uid="{00000000-0005-0000-0000-0000BC110000}"/>
    <cellStyle name="Migliaia 55 4 2 5" xfId="7155" xr:uid="{00000000-0005-0000-0000-0000BD110000}"/>
    <cellStyle name="Migliaia 55 4 2 6" xfId="5233" xr:uid="{00000000-0005-0000-0000-0000BE110000}"/>
    <cellStyle name="Migliaia 55 4 3" xfId="2565" xr:uid="{00000000-0005-0000-0000-0000BF110000}"/>
    <cellStyle name="Migliaia 55 4 4" xfId="4074" xr:uid="{00000000-0005-0000-0000-0000C0110000}"/>
    <cellStyle name="Migliaia 55 4 5" xfId="6209" xr:uid="{00000000-0005-0000-0000-0000C1110000}"/>
    <cellStyle name="Migliaia 55 4 6" xfId="7154" xr:uid="{00000000-0005-0000-0000-0000C2110000}"/>
    <cellStyle name="Migliaia 55 4 7" xfId="5232" xr:uid="{00000000-0005-0000-0000-0000C3110000}"/>
    <cellStyle name="Migliaia 55 5" xfId="1265" xr:uid="{00000000-0005-0000-0000-0000C4110000}"/>
    <cellStyle name="Migliaia 55 5 2" xfId="4075" xr:uid="{00000000-0005-0000-0000-0000C5110000}"/>
    <cellStyle name="Migliaia 55 5 3" xfId="6211" xr:uid="{00000000-0005-0000-0000-0000C6110000}"/>
    <cellStyle name="Migliaia 55 5 4" xfId="7156" xr:uid="{00000000-0005-0000-0000-0000C7110000}"/>
    <cellStyle name="Migliaia 55 5 5" xfId="5234" xr:uid="{00000000-0005-0000-0000-0000C8110000}"/>
    <cellStyle name="Migliaia 55 6" xfId="4076" xr:uid="{00000000-0005-0000-0000-0000C9110000}"/>
    <cellStyle name="Migliaia 55 7" xfId="6203" xr:uid="{00000000-0005-0000-0000-0000CA110000}"/>
    <cellStyle name="Migliaia 55 8" xfId="7148" xr:uid="{00000000-0005-0000-0000-0000CB110000}"/>
    <cellStyle name="Migliaia 55 9" xfId="5226" xr:uid="{00000000-0005-0000-0000-0000CC110000}"/>
    <cellStyle name="Migliaia 56" xfId="196" xr:uid="{00000000-0005-0000-0000-0000CD110000}"/>
    <cellStyle name="Migliaia 56 2" xfId="538" xr:uid="{00000000-0005-0000-0000-0000CE110000}"/>
    <cellStyle name="Migliaia 56 2 2" xfId="2567" xr:uid="{00000000-0005-0000-0000-0000CF110000}"/>
    <cellStyle name="Migliaia 56 2 2 2" xfId="4077" xr:uid="{00000000-0005-0000-0000-0000D0110000}"/>
    <cellStyle name="Migliaia 56 2 2 3" xfId="6214" xr:uid="{00000000-0005-0000-0000-0000D1110000}"/>
    <cellStyle name="Migliaia 56 2 2 4" xfId="7159" xr:uid="{00000000-0005-0000-0000-0000D2110000}"/>
    <cellStyle name="Migliaia 56 2 2 5" xfId="5237" xr:uid="{00000000-0005-0000-0000-0000D3110000}"/>
    <cellStyle name="Migliaia 56 2 3" xfId="4078" xr:uid="{00000000-0005-0000-0000-0000D4110000}"/>
    <cellStyle name="Migliaia 56 2 4" xfId="6213" xr:uid="{00000000-0005-0000-0000-0000D5110000}"/>
    <cellStyle name="Migliaia 56 2 5" xfId="7158" xr:uid="{00000000-0005-0000-0000-0000D6110000}"/>
    <cellStyle name="Migliaia 56 2 6" xfId="5236" xr:uid="{00000000-0005-0000-0000-0000D7110000}"/>
    <cellStyle name="Migliaia 56 3" xfId="1266" xr:uid="{00000000-0005-0000-0000-0000D8110000}"/>
    <cellStyle name="Migliaia 56 3 2" xfId="1267" xr:uid="{00000000-0005-0000-0000-0000D9110000}"/>
    <cellStyle name="Migliaia 56 3 2 2" xfId="4079" xr:uid="{00000000-0005-0000-0000-0000DA110000}"/>
    <cellStyle name="Migliaia 56 3 2 2 2" xfId="6217" xr:uid="{00000000-0005-0000-0000-0000DB110000}"/>
    <cellStyle name="Migliaia 56 3 2 2 3" xfId="7162" xr:uid="{00000000-0005-0000-0000-0000DC110000}"/>
    <cellStyle name="Migliaia 56 3 2 2 4" xfId="5240" xr:uid="{00000000-0005-0000-0000-0000DD110000}"/>
    <cellStyle name="Migliaia 56 3 2 3" xfId="4080" xr:uid="{00000000-0005-0000-0000-0000DE110000}"/>
    <cellStyle name="Migliaia 56 3 2 4" xfId="6216" xr:uid="{00000000-0005-0000-0000-0000DF110000}"/>
    <cellStyle name="Migliaia 56 3 2 5" xfId="7161" xr:uid="{00000000-0005-0000-0000-0000E0110000}"/>
    <cellStyle name="Migliaia 56 3 2 6" xfId="5239" xr:uid="{00000000-0005-0000-0000-0000E1110000}"/>
    <cellStyle name="Migliaia 56 3 3" xfId="1268" xr:uid="{00000000-0005-0000-0000-0000E2110000}"/>
    <cellStyle name="Migliaia 56 3 3 2" xfId="2569" xr:uid="{00000000-0005-0000-0000-0000E3110000}"/>
    <cellStyle name="Migliaia 56 3 4" xfId="2568" xr:uid="{00000000-0005-0000-0000-0000E4110000}"/>
    <cellStyle name="Migliaia 56 3 5" xfId="4081" xr:uid="{00000000-0005-0000-0000-0000E5110000}"/>
    <cellStyle name="Migliaia 56 3 6" xfId="6215" xr:uid="{00000000-0005-0000-0000-0000E6110000}"/>
    <cellStyle name="Migliaia 56 3 7" xfId="7160" xr:uid="{00000000-0005-0000-0000-0000E7110000}"/>
    <cellStyle name="Migliaia 56 3 8" xfId="5238" xr:uid="{00000000-0005-0000-0000-0000E8110000}"/>
    <cellStyle name="Migliaia 56 4" xfId="1269" xr:uid="{00000000-0005-0000-0000-0000E9110000}"/>
    <cellStyle name="Migliaia 56 4 2" xfId="1270" xr:uid="{00000000-0005-0000-0000-0000EA110000}"/>
    <cellStyle name="Migliaia 56 4 2 2" xfId="2571" xr:uid="{00000000-0005-0000-0000-0000EB110000}"/>
    <cellStyle name="Migliaia 56 4 2 3" xfId="4082" xr:uid="{00000000-0005-0000-0000-0000EC110000}"/>
    <cellStyle name="Migliaia 56 4 2 4" xfId="6219" xr:uid="{00000000-0005-0000-0000-0000ED110000}"/>
    <cellStyle name="Migliaia 56 4 2 5" xfId="7164" xr:uid="{00000000-0005-0000-0000-0000EE110000}"/>
    <cellStyle name="Migliaia 56 4 2 6" xfId="5242" xr:uid="{00000000-0005-0000-0000-0000EF110000}"/>
    <cellStyle name="Migliaia 56 4 3" xfId="2570" xr:uid="{00000000-0005-0000-0000-0000F0110000}"/>
    <cellStyle name="Migliaia 56 4 4" xfId="4083" xr:uid="{00000000-0005-0000-0000-0000F1110000}"/>
    <cellStyle name="Migliaia 56 4 5" xfId="6218" xr:uid="{00000000-0005-0000-0000-0000F2110000}"/>
    <cellStyle name="Migliaia 56 4 6" xfId="7163" xr:uid="{00000000-0005-0000-0000-0000F3110000}"/>
    <cellStyle name="Migliaia 56 4 7" xfId="5241" xr:uid="{00000000-0005-0000-0000-0000F4110000}"/>
    <cellStyle name="Migliaia 56 5" xfId="1271" xr:uid="{00000000-0005-0000-0000-0000F5110000}"/>
    <cellStyle name="Migliaia 56 5 2" xfId="4084" xr:uid="{00000000-0005-0000-0000-0000F6110000}"/>
    <cellStyle name="Migliaia 56 5 3" xfId="6220" xr:uid="{00000000-0005-0000-0000-0000F7110000}"/>
    <cellStyle name="Migliaia 56 5 4" xfId="7165" xr:uid="{00000000-0005-0000-0000-0000F8110000}"/>
    <cellStyle name="Migliaia 56 5 5" xfId="5243" xr:uid="{00000000-0005-0000-0000-0000F9110000}"/>
    <cellStyle name="Migliaia 56 6" xfId="4085" xr:uid="{00000000-0005-0000-0000-0000FA110000}"/>
    <cellStyle name="Migliaia 56 7" xfId="6212" xr:uid="{00000000-0005-0000-0000-0000FB110000}"/>
    <cellStyle name="Migliaia 56 8" xfId="7157" xr:uid="{00000000-0005-0000-0000-0000FC110000}"/>
    <cellStyle name="Migliaia 56 9" xfId="5235" xr:uid="{00000000-0005-0000-0000-0000FD110000}"/>
    <cellStyle name="Migliaia 57" xfId="197" xr:uid="{00000000-0005-0000-0000-0000FE110000}"/>
    <cellStyle name="Migliaia 57 2" xfId="539" xr:uid="{00000000-0005-0000-0000-0000FF110000}"/>
    <cellStyle name="Migliaia 57 2 2" xfId="2572" xr:uid="{00000000-0005-0000-0000-000000120000}"/>
    <cellStyle name="Migliaia 57 2 2 2" xfId="4086" xr:uid="{00000000-0005-0000-0000-000001120000}"/>
    <cellStyle name="Migliaia 57 2 2 3" xfId="6223" xr:uid="{00000000-0005-0000-0000-000002120000}"/>
    <cellStyle name="Migliaia 57 2 2 4" xfId="7168" xr:uid="{00000000-0005-0000-0000-000003120000}"/>
    <cellStyle name="Migliaia 57 2 2 5" xfId="5246" xr:uid="{00000000-0005-0000-0000-000004120000}"/>
    <cellStyle name="Migliaia 57 2 3" xfId="4087" xr:uid="{00000000-0005-0000-0000-000005120000}"/>
    <cellStyle name="Migliaia 57 2 4" xfId="6222" xr:uid="{00000000-0005-0000-0000-000006120000}"/>
    <cellStyle name="Migliaia 57 2 5" xfId="7167" xr:uid="{00000000-0005-0000-0000-000007120000}"/>
    <cellStyle name="Migliaia 57 2 6" xfId="5245" xr:uid="{00000000-0005-0000-0000-000008120000}"/>
    <cellStyle name="Migliaia 57 3" xfId="1272" xr:uid="{00000000-0005-0000-0000-000009120000}"/>
    <cellStyle name="Migliaia 57 3 2" xfId="1273" xr:uid="{00000000-0005-0000-0000-00000A120000}"/>
    <cellStyle name="Migliaia 57 3 2 2" xfId="4088" xr:uid="{00000000-0005-0000-0000-00000B120000}"/>
    <cellStyle name="Migliaia 57 3 2 2 2" xfId="6226" xr:uid="{00000000-0005-0000-0000-00000C120000}"/>
    <cellStyle name="Migliaia 57 3 2 2 3" xfId="7171" xr:uid="{00000000-0005-0000-0000-00000D120000}"/>
    <cellStyle name="Migliaia 57 3 2 2 4" xfId="5249" xr:uid="{00000000-0005-0000-0000-00000E120000}"/>
    <cellStyle name="Migliaia 57 3 2 3" xfId="4089" xr:uid="{00000000-0005-0000-0000-00000F120000}"/>
    <cellStyle name="Migliaia 57 3 2 4" xfId="6225" xr:uid="{00000000-0005-0000-0000-000010120000}"/>
    <cellStyle name="Migliaia 57 3 2 5" xfId="7170" xr:uid="{00000000-0005-0000-0000-000011120000}"/>
    <cellStyle name="Migliaia 57 3 2 6" xfId="5248" xr:uid="{00000000-0005-0000-0000-000012120000}"/>
    <cellStyle name="Migliaia 57 3 3" xfId="1274" xr:uid="{00000000-0005-0000-0000-000013120000}"/>
    <cellStyle name="Migliaia 57 3 3 2" xfId="2574" xr:uid="{00000000-0005-0000-0000-000014120000}"/>
    <cellStyle name="Migliaia 57 3 4" xfId="2573" xr:uid="{00000000-0005-0000-0000-000015120000}"/>
    <cellStyle name="Migliaia 57 3 5" xfId="4090" xr:uid="{00000000-0005-0000-0000-000016120000}"/>
    <cellStyle name="Migliaia 57 3 6" xfId="6224" xr:uid="{00000000-0005-0000-0000-000017120000}"/>
    <cellStyle name="Migliaia 57 3 7" xfId="7169" xr:uid="{00000000-0005-0000-0000-000018120000}"/>
    <cellStyle name="Migliaia 57 3 8" xfId="5247" xr:uid="{00000000-0005-0000-0000-000019120000}"/>
    <cellStyle name="Migliaia 57 4" xfId="1275" xr:uid="{00000000-0005-0000-0000-00001A120000}"/>
    <cellStyle name="Migliaia 57 4 2" xfId="1276" xr:uid="{00000000-0005-0000-0000-00001B120000}"/>
    <cellStyle name="Migliaia 57 4 2 2" xfId="2576" xr:uid="{00000000-0005-0000-0000-00001C120000}"/>
    <cellStyle name="Migliaia 57 4 2 3" xfId="4091" xr:uid="{00000000-0005-0000-0000-00001D120000}"/>
    <cellStyle name="Migliaia 57 4 2 4" xfId="6228" xr:uid="{00000000-0005-0000-0000-00001E120000}"/>
    <cellStyle name="Migliaia 57 4 2 5" xfId="7173" xr:uid="{00000000-0005-0000-0000-00001F120000}"/>
    <cellStyle name="Migliaia 57 4 2 6" xfId="5251" xr:uid="{00000000-0005-0000-0000-000020120000}"/>
    <cellStyle name="Migliaia 57 4 3" xfId="2575" xr:uid="{00000000-0005-0000-0000-000021120000}"/>
    <cellStyle name="Migliaia 57 4 4" xfId="4092" xr:uid="{00000000-0005-0000-0000-000022120000}"/>
    <cellStyle name="Migliaia 57 4 5" xfId="6227" xr:uid="{00000000-0005-0000-0000-000023120000}"/>
    <cellStyle name="Migliaia 57 4 6" xfId="7172" xr:uid="{00000000-0005-0000-0000-000024120000}"/>
    <cellStyle name="Migliaia 57 4 7" xfId="5250" xr:uid="{00000000-0005-0000-0000-000025120000}"/>
    <cellStyle name="Migliaia 57 5" xfId="1277" xr:uid="{00000000-0005-0000-0000-000026120000}"/>
    <cellStyle name="Migliaia 57 5 2" xfId="4093" xr:uid="{00000000-0005-0000-0000-000027120000}"/>
    <cellStyle name="Migliaia 57 5 3" xfId="6229" xr:uid="{00000000-0005-0000-0000-000028120000}"/>
    <cellStyle name="Migliaia 57 5 4" xfId="7174" xr:uid="{00000000-0005-0000-0000-000029120000}"/>
    <cellStyle name="Migliaia 57 5 5" xfId="5252" xr:uid="{00000000-0005-0000-0000-00002A120000}"/>
    <cellStyle name="Migliaia 57 6" xfId="4094" xr:uid="{00000000-0005-0000-0000-00002B120000}"/>
    <cellStyle name="Migliaia 57 7" xfId="6221" xr:uid="{00000000-0005-0000-0000-00002C120000}"/>
    <cellStyle name="Migliaia 57 8" xfId="7166" xr:uid="{00000000-0005-0000-0000-00002D120000}"/>
    <cellStyle name="Migliaia 57 9" xfId="5244" xr:uid="{00000000-0005-0000-0000-00002E120000}"/>
    <cellStyle name="Migliaia 58" xfId="198" xr:uid="{00000000-0005-0000-0000-00002F120000}"/>
    <cellStyle name="Migliaia 58 2" xfId="540" xr:uid="{00000000-0005-0000-0000-000030120000}"/>
    <cellStyle name="Migliaia 58 2 2" xfId="2577" xr:uid="{00000000-0005-0000-0000-000031120000}"/>
    <cellStyle name="Migliaia 58 2 2 2" xfId="4095" xr:uid="{00000000-0005-0000-0000-000032120000}"/>
    <cellStyle name="Migliaia 58 2 2 3" xfId="6232" xr:uid="{00000000-0005-0000-0000-000033120000}"/>
    <cellStyle name="Migliaia 58 2 2 4" xfId="7177" xr:uid="{00000000-0005-0000-0000-000034120000}"/>
    <cellStyle name="Migliaia 58 2 2 5" xfId="5255" xr:uid="{00000000-0005-0000-0000-000035120000}"/>
    <cellStyle name="Migliaia 58 2 3" xfId="4096" xr:uid="{00000000-0005-0000-0000-000036120000}"/>
    <cellStyle name="Migliaia 58 2 4" xfId="6231" xr:uid="{00000000-0005-0000-0000-000037120000}"/>
    <cellStyle name="Migliaia 58 2 5" xfId="7176" xr:uid="{00000000-0005-0000-0000-000038120000}"/>
    <cellStyle name="Migliaia 58 2 6" xfId="5254" xr:uid="{00000000-0005-0000-0000-000039120000}"/>
    <cellStyle name="Migliaia 58 3" xfId="1278" xr:uid="{00000000-0005-0000-0000-00003A120000}"/>
    <cellStyle name="Migliaia 58 3 2" xfId="1279" xr:uid="{00000000-0005-0000-0000-00003B120000}"/>
    <cellStyle name="Migliaia 58 3 2 2" xfId="4097" xr:uid="{00000000-0005-0000-0000-00003C120000}"/>
    <cellStyle name="Migliaia 58 3 2 2 2" xfId="6235" xr:uid="{00000000-0005-0000-0000-00003D120000}"/>
    <cellStyle name="Migliaia 58 3 2 2 3" xfId="7180" xr:uid="{00000000-0005-0000-0000-00003E120000}"/>
    <cellStyle name="Migliaia 58 3 2 2 4" xfId="5258" xr:uid="{00000000-0005-0000-0000-00003F120000}"/>
    <cellStyle name="Migliaia 58 3 2 3" xfId="4098" xr:uid="{00000000-0005-0000-0000-000040120000}"/>
    <cellStyle name="Migliaia 58 3 2 4" xfId="6234" xr:uid="{00000000-0005-0000-0000-000041120000}"/>
    <cellStyle name="Migliaia 58 3 2 5" xfId="7179" xr:uid="{00000000-0005-0000-0000-000042120000}"/>
    <cellStyle name="Migliaia 58 3 2 6" xfId="5257" xr:uid="{00000000-0005-0000-0000-000043120000}"/>
    <cellStyle name="Migliaia 58 3 3" xfId="1280" xr:uid="{00000000-0005-0000-0000-000044120000}"/>
    <cellStyle name="Migliaia 58 3 3 2" xfId="2579" xr:uid="{00000000-0005-0000-0000-000045120000}"/>
    <cellStyle name="Migliaia 58 3 4" xfId="2578" xr:uid="{00000000-0005-0000-0000-000046120000}"/>
    <cellStyle name="Migliaia 58 3 5" xfId="4099" xr:uid="{00000000-0005-0000-0000-000047120000}"/>
    <cellStyle name="Migliaia 58 3 6" xfId="6233" xr:uid="{00000000-0005-0000-0000-000048120000}"/>
    <cellStyle name="Migliaia 58 3 7" xfId="7178" xr:uid="{00000000-0005-0000-0000-000049120000}"/>
    <cellStyle name="Migliaia 58 3 8" xfId="5256" xr:uid="{00000000-0005-0000-0000-00004A120000}"/>
    <cellStyle name="Migliaia 58 4" xfId="1281" xr:uid="{00000000-0005-0000-0000-00004B120000}"/>
    <cellStyle name="Migliaia 58 4 2" xfId="1282" xr:uid="{00000000-0005-0000-0000-00004C120000}"/>
    <cellStyle name="Migliaia 58 4 2 2" xfId="2581" xr:uid="{00000000-0005-0000-0000-00004D120000}"/>
    <cellStyle name="Migliaia 58 4 2 3" xfId="4100" xr:uid="{00000000-0005-0000-0000-00004E120000}"/>
    <cellStyle name="Migliaia 58 4 2 4" xfId="6237" xr:uid="{00000000-0005-0000-0000-00004F120000}"/>
    <cellStyle name="Migliaia 58 4 2 5" xfId="7182" xr:uid="{00000000-0005-0000-0000-000050120000}"/>
    <cellStyle name="Migliaia 58 4 2 6" xfId="5260" xr:uid="{00000000-0005-0000-0000-000051120000}"/>
    <cellStyle name="Migliaia 58 4 3" xfId="2580" xr:uid="{00000000-0005-0000-0000-000052120000}"/>
    <cellStyle name="Migliaia 58 4 4" xfId="4101" xr:uid="{00000000-0005-0000-0000-000053120000}"/>
    <cellStyle name="Migliaia 58 4 5" xfId="6236" xr:uid="{00000000-0005-0000-0000-000054120000}"/>
    <cellStyle name="Migliaia 58 4 6" xfId="7181" xr:uid="{00000000-0005-0000-0000-000055120000}"/>
    <cellStyle name="Migliaia 58 4 7" xfId="5259" xr:uid="{00000000-0005-0000-0000-000056120000}"/>
    <cellStyle name="Migliaia 58 5" xfId="1283" xr:uid="{00000000-0005-0000-0000-000057120000}"/>
    <cellStyle name="Migliaia 58 5 2" xfId="4102" xr:uid="{00000000-0005-0000-0000-000058120000}"/>
    <cellStyle name="Migliaia 58 5 3" xfId="6238" xr:uid="{00000000-0005-0000-0000-000059120000}"/>
    <cellStyle name="Migliaia 58 5 4" xfId="7183" xr:uid="{00000000-0005-0000-0000-00005A120000}"/>
    <cellStyle name="Migliaia 58 5 5" xfId="5261" xr:uid="{00000000-0005-0000-0000-00005B120000}"/>
    <cellStyle name="Migliaia 58 6" xfId="4103" xr:uid="{00000000-0005-0000-0000-00005C120000}"/>
    <cellStyle name="Migliaia 58 7" xfId="6230" xr:uid="{00000000-0005-0000-0000-00005D120000}"/>
    <cellStyle name="Migliaia 58 8" xfId="7175" xr:uid="{00000000-0005-0000-0000-00005E120000}"/>
    <cellStyle name="Migliaia 58 9" xfId="5253" xr:uid="{00000000-0005-0000-0000-00005F120000}"/>
    <cellStyle name="Migliaia 59" xfId="199" xr:uid="{00000000-0005-0000-0000-000060120000}"/>
    <cellStyle name="Migliaia 59 2" xfId="541" xr:uid="{00000000-0005-0000-0000-000061120000}"/>
    <cellStyle name="Migliaia 59 2 2" xfId="2582" xr:uid="{00000000-0005-0000-0000-000062120000}"/>
    <cellStyle name="Migliaia 59 2 2 2" xfId="4104" xr:uid="{00000000-0005-0000-0000-000063120000}"/>
    <cellStyle name="Migliaia 59 2 2 3" xfId="6241" xr:uid="{00000000-0005-0000-0000-000064120000}"/>
    <cellStyle name="Migliaia 59 2 2 4" xfId="7186" xr:uid="{00000000-0005-0000-0000-000065120000}"/>
    <cellStyle name="Migliaia 59 2 2 5" xfId="5264" xr:uid="{00000000-0005-0000-0000-000066120000}"/>
    <cellStyle name="Migliaia 59 2 3" xfId="4105" xr:uid="{00000000-0005-0000-0000-000067120000}"/>
    <cellStyle name="Migliaia 59 2 4" xfId="6240" xr:uid="{00000000-0005-0000-0000-000068120000}"/>
    <cellStyle name="Migliaia 59 2 5" xfId="7185" xr:uid="{00000000-0005-0000-0000-000069120000}"/>
    <cellStyle name="Migliaia 59 2 6" xfId="5263" xr:uid="{00000000-0005-0000-0000-00006A120000}"/>
    <cellStyle name="Migliaia 59 3" xfId="1284" xr:uid="{00000000-0005-0000-0000-00006B120000}"/>
    <cellStyle name="Migliaia 59 3 2" xfId="1285" xr:uid="{00000000-0005-0000-0000-00006C120000}"/>
    <cellStyle name="Migliaia 59 3 2 2" xfId="4106" xr:uid="{00000000-0005-0000-0000-00006D120000}"/>
    <cellStyle name="Migliaia 59 3 2 2 2" xfId="6244" xr:uid="{00000000-0005-0000-0000-00006E120000}"/>
    <cellStyle name="Migliaia 59 3 2 2 3" xfId="7189" xr:uid="{00000000-0005-0000-0000-00006F120000}"/>
    <cellStyle name="Migliaia 59 3 2 2 4" xfId="5267" xr:uid="{00000000-0005-0000-0000-000070120000}"/>
    <cellStyle name="Migliaia 59 3 2 3" xfId="4107" xr:uid="{00000000-0005-0000-0000-000071120000}"/>
    <cellStyle name="Migliaia 59 3 2 4" xfId="6243" xr:uid="{00000000-0005-0000-0000-000072120000}"/>
    <cellStyle name="Migliaia 59 3 2 5" xfId="7188" xr:uid="{00000000-0005-0000-0000-000073120000}"/>
    <cellStyle name="Migliaia 59 3 2 6" xfId="5266" xr:uid="{00000000-0005-0000-0000-000074120000}"/>
    <cellStyle name="Migliaia 59 3 3" xfId="1286" xr:uid="{00000000-0005-0000-0000-000075120000}"/>
    <cellStyle name="Migliaia 59 3 3 2" xfId="2584" xr:uid="{00000000-0005-0000-0000-000076120000}"/>
    <cellStyle name="Migliaia 59 3 4" xfId="2583" xr:uid="{00000000-0005-0000-0000-000077120000}"/>
    <cellStyle name="Migliaia 59 3 5" xfId="4108" xr:uid="{00000000-0005-0000-0000-000078120000}"/>
    <cellStyle name="Migliaia 59 3 6" xfId="6242" xr:uid="{00000000-0005-0000-0000-000079120000}"/>
    <cellStyle name="Migliaia 59 3 7" xfId="7187" xr:uid="{00000000-0005-0000-0000-00007A120000}"/>
    <cellStyle name="Migliaia 59 3 8" xfId="5265" xr:uid="{00000000-0005-0000-0000-00007B120000}"/>
    <cellStyle name="Migliaia 59 4" xfId="1287" xr:uid="{00000000-0005-0000-0000-00007C120000}"/>
    <cellStyle name="Migliaia 59 4 2" xfId="1288" xr:uid="{00000000-0005-0000-0000-00007D120000}"/>
    <cellStyle name="Migliaia 59 4 2 2" xfId="2586" xr:uid="{00000000-0005-0000-0000-00007E120000}"/>
    <cellStyle name="Migliaia 59 4 2 3" xfId="4109" xr:uid="{00000000-0005-0000-0000-00007F120000}"/>
    <cellStyle name="Migliaia 59 4 2 4" xfId="6246" xr:uid="{00000000-0005-0000-0000-000080120000}"/>
    <cellStyle name="Migliaia 59 4 2 5" xfId="7191" xr:uid="{00000000-0005-0000-0000-000081120000}"/>
    <cellStyle name="Migliaia 59 4 2 6" xfId="5269" xr:uid="{00000000-0005-0000-0000-000082120000}"/>
    <cellStyle name="Migliaia 59 4 3" xfId="2585" xr:uid="{00000000-0005-0000-0000-000083120000}"/>
    <cellStyle name="Migliaia 59 4 4" xfId="4110" xr:uid="{00000000-0005-0000-0000-000084120000}"/>
    <cellStyle name="Migliaia 59 4 5" xfId="6245" xr:uid="{00000000-0005-0000-0000-000085120000}"/>
    <cellStyle name="Migliaia 59 4 6" xfId="7190" xr:uid="{00000000-0005-0000-0000-000086120000}"/>
    <cellStyle name="Migliaia 59 4 7" xfId="5268" xr:uid="{00000000-0005-0000-0000-000087120000}"/>
    <cellStyle name="Migliaia 59 5" xfId="1289" xr:uid="{00000000-0005-0000-0000-000088120000}"/>
    <cellStyle name="Migliaia 59 5 2" xfId="4111" xr:uid="{00000000-0005-0000-0000-000089120000}"/>
    <cellStyle name="Migliaia 59 5 3" xfId="6247" xr:uid="{00000000-0005-0000-0000-00008A120000}"/>
    <cellStyle name="Migliaia 59 5 4" xfId="7192" xr:uid="{00000000-0005-0000-0000-00008B120000}"/>
    <cellStyle name="Migliaia 59 5 5" xfId="5270" xr:uid="{00000000-0005-0000-0000-00008C120000}"/>
    <cellStyle name="Migliaia 59 6" xfId="4112" xr:uid="{00000000-0005-0000-0000-00008D120000}"/>
    <cellStyle name="Migliaia 59 7" xfId="6239" xr:uid="{00000000-0005-0000-0000-00008E120000}"/>
    <cellStyle name="Migliaia 59 8" xfId="7184" xr:uid="{00000000-0005-0000-0000-00008F120000}"/>
    <cellStyle name="Migliaia 59 9" xfId="5262" xr:uid="{00000000-0005-0000-0000-000090120000}"/>
    <cellStyle name="Migliaia 6" xfId="200" xr:uid="{00000000-0005-0000-0000-000091120000}"/>
    <cellStyle name="Migliaia 6 2" xfId="542" xr:uid="{00000000-0005-0000-0000-000092120000}"/>
    <cellStyle name="Migliaia 6 2 2" xfId="2587" xr:uid="{00000000-0005-0000-0000-000093120000}"/>
    <cellStyle name="Migliaia 6 2 2 2" xfId="4113" xr:uid="{00000000-0005-0000-0000-000094120000}"/>
    <cellStyle name="Migliaia 6 2 2 3" xfId="6250" xr:uid="{00000000-0005-0000-0000-000095120000}"/>
    <cellStyle name="Migliaia 6 2 2 4" xfId="7195" xr:uid="{00000000-0005-0000-0000-000096120000}"/>
    <cellStyle name="Migliaia 6 2 2 5" xfId="5273" xr:uid="{00000000-0005-0000-0000-000097120000}"/>
    <cellStyle name="Migliaia 6 2 3" xfId="4114" xr:uid="{00000000-0005-0000-0000-000098120000}"/>
    <cellStyle name="Migliaia 6 2 4" xfId="6249" xr:uid="{00000000-0005-0000-0000-000099120000}"/>
    <cellStyle name="Migliaia 6 2 5" xfId="7194" xr:uid="{00000000-0005-0000-0000-00009A120000}"/>
    <cellStyle name="Migliaia 6 2 6" xfId="5272" xr:uid="{00000000-0005-0000-0000-00009B120000}"/>
    <cellStyle name="Migliaia 6 3" xfId="1290" xr:uid="{00000000-0005-0000-0000-00009C120000}"/>
    <cellStyle name="Migliaia 6 3 2" xfId="1291" xr:uid="{00000000-0005-0000-0000-00009D120000}"/>
    <cellStyle name="Migliaia 6 3 2 2" xfId="4115" xr:uid="{00000000-0005-0000-0000-00009E120000}"/>
    <cellStyle name="Migliaia 6 3 2 2 2" xfId="6253" xr:uid="{00000000-0005-0000-0000-00009F120000}"/>
    <cellStyle name="Migliaia 6 3 2 2 3" xfId="7198" xr:uid="{00000000-0005-0000-0000-0000A0120000}"/>
    <cellStyle name="Migliaia 6 3 2 2 4" xfId="5276" xr:uid="{00000000-0005-0000-0000-0000A1120000}"/>
    <cellStyle name="Migliaia 6 3 2 3" xfId="4116" xr:uid="{00000000-0005-0000-0000-0000A2120000}"/>
    <cellStyle name="Migliaia 6 3 2 4" xfId="6252" xr:uid="{00000000-0005-0000-0000-0000A3120000}"/>
    <cellStyle name="Migliaia 6 3 2 5" xfId="7197" xr:uid="{00000000-0005-0000-0000-0000A4120000}"/>
    <cellStyle name="Migliaia 6 3 2 6" xfId="5275" xr:uid="{00000000-0005-0000-0000-0000A5120000}"/>
    <cellStyle name="Migliaia 6 3 3" xfId="1292" xr:uid="{00000000-0005-0000-0000-0000A6120000}"/>
    <cellStyle name="Migliaia 6 3 3 2" xfId="2589" xr:uid="{00000000-0005-0000-0000-0000A7120000}"/>
    <cellStyle name="Migliaia 6 3 4" xfId="2588" xr:uid="{00000000-0005-0000-0000-0000A8120000}"/>
    <cellStyle name="Migliaia 6 3 5" xfId="4117" xr:uid="{00000000-0005-0000-0000-0000A9120000}"/>
    <cellStyle name="Migliaia 6 3 6" xfId="6251" xr:uid="{00000000-0005-0000-0000-0000AA120000}"/>
    <cellStyle name="Migliaia 6 3 7" xfId="7196" xr:uid="{00000000-0005-0000-0000-0000AB120000}"/>
    <cellStyle name="Migliaia 6 3 8" xfId="5274" xr:uid="{00000000-0005-0000-0000-0000AC120000}"/>
    <cellStyle name="Migliaia 6 4" xfId="1293" xr:uid="{00000000-0005-0000-0000-0000AD120000}"/>
    <cellStyle name="Migliaia 6 4 2" xfId="1294" xr:uid="{00000000-0005-0000-0000-0000AE120000}"/>
    <cellStyle name="Migliaia 6 4 2 2" xfId="2591" xr:uid="{00000000-0005-0000-0000-0000AF120000}"/>
    <cellStyle name="Migliaia 6 4 2 3" xfId="4118" xr:uid="{00000000-0005-0000-0000-0000B0120000}"/>
    <cellStyle name="Migliaia 6 4 2 4" xfId="6255" xr:uid="{00000000-0005-0000-0000-0000B1120000}"/>
    <cellStyle name="Migliaia 6 4 2 5" xfId="7200" xr:uid="{00000000-0005-0000-0000-0000B2120000}"/>
    <cellStyle name="Migliaia 6 4 2 6" xfId="5278" xr:uid="{00000000-0005-0000-0000-0000B3120000}"/>
    <cellStyle name="Migliaia 6 4 3" xfId="2590" xr:uid="{00000000-0005-0000-0000-0000B4120000}"/>
    <cellStyle name="Migliaia 6 4 4" xfId="4119" xr:uid="{00000000-0005-0000-0000-0000B5120000}"/>
    <cellStyle name="Migliaia 6 4 5" xfId="6254" xr:uid="{00000000-0005-0000-0000-0000B6120000}"/>
    <cellStyle name="Migliaia 6 4 6" xfId="7199" xr:uid="{00000000-0005-0000-0000-0000B7120000}"/>
    <cellStyle name="Migliaia 6 4 7" xfId="5277" xr:uid="{00000000-0005-0000-0000-0000B8120000}"/>
    <cellStyle name="Migliaia 6 5" xfId="1295" xr:uid="{00000000-0005-0000-0000-0000B9120000}"/>
    <cellStyle name="Migliaia 6 5 2" xfId="4120" xr:uid="{00000000-0005-0000-0000-0000BA120000}"/>
    <cellStyle name="Migliaia 6 5 3" xfId="6256" xr:uid="{00000000-0005-0000-0000-0000BB120000}"/>
    <cellStyle name="Migliaia 6 5 4" xfId="7201" xr:uid="{00000000-0005-0000-0000-0000BC120000}"/>
    <cellStyle name="Migliaia 6 5 5" xfId="5279" xr:uid="{00000000-0005-0000-0000-0000BD120000}"/>
    <cellStyle name="Migliaia 6 6" xfId="4121" xr:uid="{00000000-0005-0000-0000-0000BE120000}"/>
    <cellStyle name="Migliaia 6 7" xfId="6248" xr:uid="{00000000-0005-0000-0000-0000BF120000}"/>
    <cellStyle name="Migliaia 6 8" xfId="7193" xr:uid="{00000000-0005-0000-0000-0000C0120000}"/>
    <cellStyle name="Migliaia 6 9" xfId="5271" xr:uid="{00000000-0005-0000-0000-0000C1120000}"/>
    <cellStyle name="Migliaia 60" xfId="201" xr:uid="{00000000-0005-0000-0000-0000C2120000}"/>
    <cellStyle name="Migliaia 60 2" xfId="543" xr:uid="{00000000-0005-0000-0000-0000C3120000}"/>
    <cellStyle name="Migliaia 60 2 2" xfId="2592" xr:uid="{00000000-0005-0000-0000-0000C4120000}"/>
    <cellStyle name="Migliaia 60 2 2 2" xfId="4122" xr:uid="{00000000-0005-0000-0000-0000C5120000}"/>
    <cellStyle name="Migliaia 60 2 2 3" xfId="6259" xr:uid="{00000000-0005-0000-0000-0000C6120000}"/>
    <cellStyle name="Migliaia 60 2 2 4" xfId="7204" xr:uid="{00000000-0005-0000-0000-0000C7120000}"/>
    <cellStyle name="Migliaia 60 2 2 5" xfId="5282" xr:uid="{00000000-0005-0000-0000-0000C8120000}"/>
    <cellStyle name="Migliaia 60 2 3" xfId="4123" xr:uid="{00000000-0005-0000-0000-0000C9120000}"/>
    <cellStyle name="Migliaia 60 2 4" xfId="6258" xr:uid="{00000000-0005-0000-0000-0000CA120000}"/>
    <cellStyle name="Migliaia 60 2 5" xfId="7203" xr:uid="{00000000-0005-0000-0000-0000CB120000}"/>
    <cellStyle name="Migliaia 60 2 6" xfId="5281" xr:uid="{00000000-0005-0000-0000-0000CC120000}"/>
    <cellStyle name="Migliaia 60 3" xfId="1296" xr:uid="{00000000-0005-0000-0000-0000CD120000}"/>
    <cellStyle name="Migliaia 60 3 2" xfId="1297" xr:uid="{00000000-0005-0000-0000-0000CE120000}"/>
    <cellStyle name="Migliaia 60 3 2 2" xfId="4124" xr:uid="{00000000-0005-0000-0000-0000CF120000}"/>
    <cellStyle name="Migliaia 60 3 2 2 2" xfId="6262" xr:uid="{00000000-0005-0000-0000-0000D0120000}"/>
    <cellStyle name="Migliaia 60 3 2 2 3" xfId="7207" xr:uid="{00000000-0005-0000-0000-0000D1120000}"/>
    <cellStyle name="Migliaia 60 3 2 2 4" xfId="5285" xr:uid="{00000000-0005-0000-0000-0000D2120000}"/>
    <cellStyle name="Migliaia 60 3 2 3" xfId="4125" xr:uid="{00000000-0005-0000-0000-0000D3120000}"/>
    <cellStyle name="Migliaia 60 3 2 4" xfId="6261" xr:uid="{00000000-0005-0000-0000-0000D4120000}"/>
    <cellStyle name="Migliaia 60 3 2 5" xfId="7206" xr:uid="{00000000-0005-0000-0000-0000D5120000}"/>
    <cellStyle name="Migliaia 60 3 2 6" xfId="5284" xr:uid="{00000000-0005-0000-0000-0000D6120000}"/>
    <cellStyle name="Migliaia 60 3 3" xfId="1298" xr:uid="{00000000-0005-0000-0000-0000D7120000}"/>
    <cellStyle name="Migliaia 60 3 3 2" xfId="2594" xr:uid="{00000000-0005-0000-0000-0000D8120000}"/>
    <cellStyle name="Migliaia 60 3 4" xfId="2593" xr:uid="{00000000-0005-0000-0000-0000D9120000}"/>
    <cellStyle name="Migliaia 60 3 5" xfId="4126" xr:uid="{00000000-0005-0000-0000-0000DA120000}"/>
    <cellStyle name="Migliaia 60 3 6" xfId="6260" xr:uid="{00000000-0005-0000-0000-0000DB120000}"/>
    <cellStyle name="Migliaia 60 3 7" xfId="7205" xr:uid="{00000000-0005-0000-0000-0000DC120000}"/>
    <cellStyle name="Migliaia 60 3 8" xfId="5283" xr:uid="{00000000-0005-0000-0000-0000DD120000}"/>
    <cellStyle name="Migliaia 60 4" xfId="1299" xr:uid="{00000000-0005-0000-0000-0000DE120000}"/>
    <cellStyle name="Migliaia 60 4 2" xfId="1300" xr:uid="{00000000-0005-0000-0000-0000DF120000}"/>
    <cellStyle name="Migliaia 60 4 2 2" xfId="2596" xr:uid="{00000000-0005-0000-0000-0000E0120000}"/>
    <cellStyle name="Migliaia 60 4 2 3" xfId="4127" xr:uid="{00000000-0005-0000-0000-0000E1120000}"/>
    <cellStyle name="Migliaia 60 4 2 4" xfId="6264" xr:uid="{00000000-0005-0000-0000-0000E2120000}"/>
    <cellStyle name="Migliaia 60 4 2 5" xfId="7209" xr:uid="{00000000-0005-0000-0000-0000E3120000}"/>
    <cellStyle name="Migliaia 60 4 2 6" xfId="5287" xr:uid="{00000000-0005-0000-0000-0000E4120000}"/>
    <cellStyle name="Migliaia 60 4 3" xfId="2595" xr:uid="{00000000-0005-0000-0000-0000E5120000}"/>
    <cellStyle name="Migliaia 60 4 4" xfId="4128" xr:uid="{00000000-0005-0000-0000-0000E6120000}"/>
    <cellStyle name="Migliaia 60 4 5" xfId="6263" xr:uid="{00000000-0005-0000-0000-0000E7120000}"/>
    <cellStyle name="Migliaia 60 4 6" xfId="7208" xr:uid="{00000000-0005-0000-0000-0000E8120000}"/>
    <cellStyle name="Migliaia 60 4 7" xfId="5286" xr:uid="{00000000-0005-0000-0000-0000E9120000}"/>
    <cellStyle name="Migliaia 60 5" xfId="1301" xr:uid="{00000000-0005-0000-0000-0000EA120000}"/>
    <cellStyle name="Migliaia 60 5 2" xfId="4129" xr:uid="{00000000-0005-0000-0000-0000EB120000}"/>
    <cellStyle name="Migliaia 60 5 3" xfId="6265" xr:uid="{00000000-0005-0000-0000-0000EC120000}"/>
    <cellStyle name="Migliaia 60 5 4" xfId="7210" xr:uid="{00000000-0005-0000-0000-0000ED120000}"/>
    <cellStyle name="Migliaia 60 5 5" xfId="5288" xr:uid="{00000000-0005-0000-0000-0000EE120000}"/>
    <cellStyle name="Migliaia 60 6" xfId="4130" xr:uid="{00000000-0005-0000-0000-0000EF120000}"/>
    <cellStyle name="Migliaia 60 7" xfId="6257" xr:uid="{00000000-0005-0000-0000-0000F0120000}"/>
    <cellStyle name="Migliaia 60 8" xfId="7202" xr:uid="{00000000-0005-0000-0000-0000F1120000}"/>
    <cellStyle name="Migliaia 60 9" xfId="5280" xr:uid="{00000000-0005-0000-0000-0000F2120000}"/>
    <cellStyle name="Migliaia 61" xfId="202" xr:uid="{00000000-0005-0000-0000-0000F3120000}"/>
    <cellStyle name="Migliaia 61 2" xfId="544" xr:uid="{00000000-0005-0000-0000-0000F4120000}"/>
    <cellStyle name="Migliaia 61 2 2" xfId="2597" xr:uid="{00000000-0005-0000-0000-0000F5120000}"/>
    <cellStyle name="Migliaia 61 2 2 2" xfId="4131" xr:uid="{00000000-0005-0000-0000-0000F6120000}"/>
    <cellStyle name="Migliaia 61 2 2 3" xfId="6268" xr:uid="{00000000-0005-0000-0000-0000F7120000}"/>
    <cellStyle name="Migliaia 61 2 2 4" xfId="7213" xr:uid="{00000000-0005-0000-0000-0000F8120000}"/>
    <cellStyle name="Migliaia 61 2 2 5" xfId="5291" xr:uid="{00000000-0005-0000-0000-0000F9120000}"/>
    <cellStyle name="Migliaia 61 2 3" xfId="4132" xr:uid="{00000000-0005-0000-0000-0000FA120000}"/>
    <cellStyle name="Migliaia 61 2 4" xfId="6267" xr:uid="{00000000-0005-0000-0000-0000FB120000}"/>
    <cellStyle name="Migliaia 61 2 5" xfId="7212" xr:uid="{00000000-0005-0000-0000-0000FC120000}"/>
    <cellStyle name="Migliaia 61 2 6" xfId="5290" xr:uid="{00000000-0005-0000-0000-0000FD120000}"/>
    <cellStyle name="Migliaia 61 3" xfId="1302" xr:uid="{00000000-0005-0000-0000-0000FE120000}"/>
    <cellStyle name="Migliaia 61 3 2" xfId="1303" xr:uid="{00000000-0005-0000-0000-0000FF120000}"/>
    <cellStyle name="Migliaia 61 3 2 2" xfId="4133" xr:uid="{00000000-0005-0000-0000-000000130000}"/>
    <cellStyle name="Migliaia 61 3 2 2 2" xfId="6271" xr:uid="{00000000-0005-0000-0000-000001130000}"/>
    <cellStyle name="Migliaia 61 3 2 2 3" xfId="7216" xr:uid="{00000000-0005-0000-0000-000002130000}"/>
    <cellStyle name="Migliaia 61 3 2 2 4" xfId="5294" xr:uid="{00000000-0005-0000-0000-000003130000}"/>
    <cellStyle name="Migliaia 61 3 2 3" xfId="4134" xr:uid="{00000000-0005-0000-0000-000004130000}"/>
    <cellStyle name="Migliaia 61 3 2 4" xfId="6270" xr:uid="{00000000-0005-0000-0000-000005130000}"/>
    <cellStyle name="Migliaia 61 3 2 5" xfId="7215" xr:uid="{00000000-0005-0000-0000-000006130000}"/>
    <cellStyle name="Migliaia 61 3 2 6" xfId="5293" xr:uid="{00000000-0005-0000-0000-000007130000}"/>
    <cellStyle name="Migliaia 61 3 3" xfId="1304" xr:uid="{00000000-0005-0000-0000-000008130000}"/>
    <cellStyle name="Migliaia 61 3 3 2" xfId="2599" xr:uid="{00000000-0005-0000-0000-000009130000}"/>
    <cellStyle name="Migliaia 61 3 4" xfId="2598" xr:uid="{00000000-0005-0000-0000-00000A130000}"/>
    <cellStyle name="Migliaia 61 3 5" xfId="4135" xr:uid="{00000000-0005-0000-0000-00000B130000}"/>
    <cellStyle name="Migliaia 61 3 6" xfId="6269" xr:uid="{00000000-0005-0000-0000-00000C130000}"/>
    <cellStyle name="Migliaia 61 3 7" xfId="7214" xr:uid="{00000000-0005-0000-0000-00000D130000}"/>
    <cellStyle name="Migliaia 61 3 8" xfId="5292" xr:uid="{00000000-0005-0000-0000-00000E130000}"/>
    <cellStyle name="Migliaia 61 4" xfId="1305" xr:uid="{00000000-0005-0000-0000-00000F130000}"/>
    <cellStyle name="Migliaia 61 4 2" xfId="1306" xr:uid="{00000000-0005-0000-0000-000010130000}"/>
    <cellStyle name="Migliaia 61 4 2 2" xfId="2601" xr:uid="{00000000-0005-0000-0000-000011130000}"/>
    <cellStyle name="Migliaia 61 4 2 3" xfId="4136" xr:uid="{00000000-0005-0000-0000-000012130000}"/>
    <cellStyle name="Migliaia 61 4 2 4" xfId="6273" xr:uid="{00000000-0005-0000-0000-000013130000}"/>
    <cellStyle name="Migliaia 61 4 2 5" xfId="7218" xr:uid="{00000000-0005-0000-0000-000014130000}"/>
    <cellStyle name="Migliaia 61 4 2 6" xfId="5296" xr:uid="{00000000-0005-0000-0000-000015130000}"/>
    <cellStyle name="Migliaia 61 4 3" xfId="2600" xr:uid="{00000000-0005-0000-0000-000016130000}"/>
    <cellStyle name="Migliaia 61 4 4" xfId="4137" xr:uid="{00000000-0005-0000-0000-000017130000}"/>
    <cellStyle name="Migliaia 61 4 5" xfId="6272" xr:uid="{00000000-0005-0000-0000-000018130000}"/>
    <cellStyle name="Migliaia 61 4 6" xfId="7217" xr:uid="{00000000-0005-0000-0000-000019130000}"/>
    <cellStyle name="Migliaia 61 4 7" xfId="5295" xr:uid="{00000000-0005-0000-0000-00001A130000}"/>
    <cellStyle name="Migliaia 61 5" xfId="1307" xr:uid="{00000000-0005-0000-0000-00001B130000}"/>
    <cellStyle name="Migliaia 61 5 2" xfId="4138" xr:uid="{00000000-0005-0000-0000-00001C130000}"/>
    <cellStyle name="Migliaia 61 5 3" xfId="6274" xr:uid="{00000000-0005-0000-0000-00001D130000}"/>
    <cellStyle name="Migliaia 61 5 4" xfId="7219" xr:uid="{00000000-0005-0000-0000-00001E130000}"/>
    <cellStyle name="Migliaia 61 5 5" xfId="5297" xr:uid="{00000000-0005-0000-0000-00001F130000}"/>
    <cellStyle name="Migliaia 61 6" xfId="4139" xr:uid="{00000000-0005-0000-0000-000020130000}"/>
    <cellStyle name="Migliaia 61 7" xfId="6266" xr:uid="{00000000-0005-0000-0000-000021130000}"/>
    <cellStyle name="Migliaia 61 8" xfId="7211" xr:uid="{00000000-0005-0000-0000-000022130000}"/>
    <cellStyle name="Migliaia 61 9" xfId="5289" xr:uid="{00000000-0005-0000-0000-000023130000}"/>
    <cellStyle name="Migliaia 7" xfId="203" xr:uid="{00000000-0005-0000-0000-000024130000}"/>
    <cellStyle name="Migliaia 7 2" xfId="545" xr:uid="{00000000-0005-0000-0000-000025130000}"/>
    <cellStyle name="Migliaia 7 2 2" xfId="2602" xr:uid="{00000000-0005-0000-0000-000026130000}"/>
    <cellStyle name="Migliaia 7 2 2 2" xfId="4140" xr:uid="{00000000-0005-0000-0000-000027130000}"/>
    <cellStyle name="Migliaia 7 2 2 3" xfId="6277" xr:uid="{00000000-0005-0000-0000-000028130000}"/>
    <cellStyle name="Migliaia 7 2 2 4" xfId="7222" xr:uid="{00000000-0005-0000-0000-000029130000}"/>
    <cellStyle name="Migliaia 7 2 2 5" xfId="5300" xr:uid="{00000000-0005-0000-0000-00002A130000}"/>
    <cellStyle name="Migliaia 7 2 3" xfId="4141" xr:uid="{00000000-0005-0000-0000-00002B130000}"/>
    <cellStyle name="Migliaia 7 2 4" xfId="6276" xr:uid="{00000000-0005-0000-0000-00002C130000}"/>
    <cellStyle name="Migliaia 7 2 5" xfId="7221" xr:uid="{00000000-0005-0000-0000-00002D130000}"/>
    <cellStyle name="Migliaia 7 2 6" xfId="5299" xr:uid="{00000000-0005-0000-0000-00002E130000}"/>
    <cellStyle name="Migliaia 7 3" xfId="1308" xr:uid="{00000000-0005-0000-0000-00002F130000}"/>
    <cellStyle name="Migliaia 7 3 2" xfId="1309" xr:uid="{00000000-0005-0000-0000-000030130000}"/>
    <cellStyle name="Migliaia 7 3 2 2" xfId="4142" xr:uid="{00000000-0005-0000-0000-000031130000}"/>
    <cellStyle name="Migliaia 7 3 2 2 2" xfId="6280" xr:uid="{00000000-0005-0000-0000-000032130000}"/>
    <cellStyle name="Migliaia 7 3 2 2 3" xfId="7225" xr:uid="{00000000-0005-0000-0000-000033130000}"/>
    <cellStyle name="Migliaia 7 3 2 2 4" xfId="5303" xr:uid="{00000000-0005-0000-0000-000034130000}"/>
    <cellStyle name="Migliaia 7 3 2 3" xfId="4143" xr:uid="{00000000-0005-0000-0000-000035130000}"/>
    <cellStyle name="Migliaia 7 3 2 4" xfId="6279" xr:uid="{00000000-0005-0000-0000-000036130000}"/>
    <cellStyle name="Migliaia 7 3 2 5" xfId="7224" xr:uid="{00000000-0005-0000-0000-000037130000}"/>
    <cellStyle name="Migliaia 7 3 2 6" xfId="5302" xr:uid="{00000000-0005-0000-0000-000038130000}"/>
    <cellStyle name="Migliaia 7 3 3" xfId="1310" xr:uid="{00000000-0005-0000-0000-000039130000}"/>
    <cellStyle name="Migliaia 7 3 3 2" xfId="2604" xr:uid="{00000000-0005-0000-0000-00003A130000}"/>
    <cellStyle name="Migliaia 7 3 4" xfId="2603" xr:uid="{00000000-0005-0000-0000-00003B130000}"/>
    <cellStyle name="Migliaia 7 3 5" xfId="4144" xr:uid="{00000000-0005-0000-0000-00003C130000}"/>
    <cellStyle name="Migliaia 7 3 6" xfId="6278" xr:uid="{00000000-0005-0000-0000-00003D130000}"/>
    <cellStyle name="Migliaia 7 3 7" xfId="7223" xr:uid="{00000000-0005-0000-0000-00003E130000}"/>
    <cellStyle name="Migliaia 7 3 8" xfId="5301" xr:uid="{00000000-0005-0000-0000-00003F130000}"/>
    <cellStyle name="Migliaia 7 4" xfId="1311" xr:uid="{00000000-0005-0000-0000-000040130000}"/>
    <cellStyle name="Migliaia 7 4 2" xfId="1312" xr:uid="{00000000-0005-0000-0000-000041130000}"/>
    <cellStyle name="Migliaia 7 4 2 2" xfId="2606" xr:uid="{00000000-0005-0000-0000-000042130000}"/>
    <cellStyle name="Migliaia 7 4 2 3" xfId="4145" xr:uid="{00000000-0005-0000-0000-000043130000}"/>
    <cellStyle name="Migliaia 7 4 2 4" xfId="6282" xr:uid="{00000000-0005-0000-0000-000044130000}"/>
    <cellStyle name="Migliaia 7 4 2 5" xfId="7227" xr:uid="{00000000-0005-0000-0000-000045130000}"/>
    <cellStyle name="Migliaia 7 4 2 6" xfId="5305" xr:uid="{00000000-0005-0000-0000-000046130000}"/>
    <cellStyle name="Migliaia 7 4 3" xfId="2605" xr:uid="{00000000-0005-0000-0000-000047130000}"/>
    <cellStyle name="Migliaia 7 4 4" xfId="4146" xr:uid="{00000000-0005-0000-0000-000048130000}"/>
    <cellStyle name="Migliaia 7 4 5" xfId="6281" xr:uid="{00000000-0005-0000-0000-000049130000}"/>
    <cellStyle name="Migliaia 7 4 6" xfId="7226" xr:uid="{00000000-0005-0000-0000-00004A130000}"/>
    <cellStyle name="Migliaia 7 4 7" xfId="5304" xr:uid="{00000000-0005-0000-0000-00004B130000}"/>
    <cellStyle name="Migliaia 7 5" xfId="1313" xr:uid="{00000000-0005-0000-0000-00004C130000}"/>
    <cellStyle name="Migliaia 7 5 2" xfId="4147" xr:uid="{00000000-0005-0000-0000-00004D130000}"/>
    <cellStyle name="Migliaia 7 5 3" xfId="6283" xr:uid="{00000000-0005-0000-0000-00004E130000}"/>
    <cellStyle name="Migliaia 7 5 4" xfId="7228" xr:uid="{00000000-0005-0000-0000-00004F130000}"/>
    <cellStyle name="Migliaia 7 5 5" xfId="5306" xr:uid="{00000000-0005-0000-0000-000050130000}"/>
    <cellStyle name="Migliaia 7 6" xfId="4148" xr:uid="{00000000-0005-0000-0000-000051130000}"/>
    <cellStyle name="Migliaia 7 7" xfId="6275" xr:uid="{00000000-0005-0000-0000-000052130000}"/>
    <cellStyle name="Migliaia 7 8" xfId="7220" xr:uid="{00000000-0005-0000-0000-000053130000}"/>
    <cellStyle name="Migliaia 7 9" xfId="5298" xr:uid="{00000000-0005-0000-0000-000054130000}"/>
    <cellStyle name="Migliaia 8" xfId="204" xr:uid="{00000000-0005-0000-0000-000055130000}"/>
    <cellStyle name="Migliaia 8 2" xfId="546" xr:uid="{00000000-0005-0000-0000-000056130000}"/>
    <cellStyle name="Migliaia 8 2 2" xfId="2607" xr:uid="{00000000-0005-0000-0000-000057130000}"/>
    <cellStyle name="Migliaia 8 2 2 2" xfId="4149" xr:uid="{00000000-0005-0000-0000-000058130000}"/>
    <cellStyle name="Migliaia 8 2 2 3" xfId="6286" xr:uid="{00000000-0005-0000-0000-000059130000}"/>
    <cellStyle name="Migliaia 8 2 2 4" xfId="7231" xr:uid="{00000000-0005-0000-0000-00005A130000}"/>
    <cellStyle name="Migliaia 8 2 2 5" xfId="5309" xr:uid="{00000000-0005-0000-0000-00005B130000}"/>
    <cellStyle name="Migliaia 8 2 3" xfId="4150" xr:uid="{00000000-0005-0000-0000-00005C130000}"/>
    <cellStyle name="Migliaia 8 2 4" xfId="6285" xr:uid="{00000000-0005-0000-0000-00005D130000}"/>
    <cellStyle name="Migliaia 8 2 5" xfId="7230" xr:uid="{00000000-0005-0000-0000-00005E130000}"/>
    <cellStyle name="Migliaia 8 2 6" xfId="5308" xr:uid="{00000000-0005-0000-0000-00005F130000}"/>
    <cellStyle name="Migliaia 8 3" xfId="1314" xr:uid="{00000000-0005-0000-0000-000060130000}"/>
    <cellStyle name="Migliaia 8 3 2" xfId="1315" xr:uid="{00000000-0005-0000-0000-000061130000}"/>
    <cellStyle name="Migliaia 8 3 2 2" xfId="4151" xr:uid="{00000000-0005-0000-0000-000062130000}"/>
    <cellStyle name="Migliaia 8 3 2 2 2" xfId="6289" xr:uid="{00000000-0005-0000-0000-000063130000}"/>
    <cellStyle name="Migliaia 8 3 2 2 3" xfId="7234" xr:uid="{00000000-0005-0000-0000-000064130000}"/>
    <cellStyle name="Migliaia 8 3 2 2 4" xfId="5312" xr:uid="{00000000-0005-0000-0000-000065130000}"/>
    <cellStyle name="Migliaia 8 3 2 3" xfId="4152" xr:uid="{00000000-0005-0000-0000-000066130000}"/>
    <cellStyle name="Migliaia 8 3 2 4" xfId="6288" xr:uid="{00000000-0005-0000-0000-000067130000}"/>
    <cellStyle name="Migliaia 8 3 2 5" xfId="7233" xr:uid="{00000000-0005-0000-0000-000068130000}"/>
    <cellStyle name="Migliaia 8 3 2 6" xfId="5311" xr:uid="{00000000-0005-0000-0000-000069130000}"/>
    <cellStyle name="Migliaia 8 3 3" xfId="1316" xr:uid="{00000000-0005-0000-0000-00006A130000}"/>
    <cellStyle name="Migliaia 8 3 3 2" xfId="2609" xr:uid="{00000000-0005-0000-0000-00006B130000}"/>
    <cellStyle name="Migliaia 8 3 4" xfId="2608" xr:uid="{00000000-0005-0000-0000-00006C130000}"/>
    <cellStyle name="Migliaia 8 3 5" xfId="4153" xr:uid="{00000000-0005-0000-0000-00006D130000}"/>
    <cellStyle name="Migliaia 8 3 6" xfId="6287" xr:uid="{00000000-0005-0000-0000-00006E130000}"/>
    <cellStyle name="Migliaia 8 3 7" xfId="7232" xr:uid="{00000000-0005-0000-0000-00006F130000}"/>
    <cellStyle name="Migliaia 8 3 8" xfId="5310" xr:uid="{00000000-0005-0000-0000-000070130000}"/>
    <cellStyle name="Migliaia 8 4" xfId="1317" xr:uid="{00000000-0005-0000-0000-000071130000}"/>
    <cellStyle name="Migliaia 8 4 2" xfId="1318" xr:uid="{00000000-0005-0000-0000-000072130000}"/>
    <cellStyle name="Migliaia 8 4 2 2" xfId="2611" xr:uid="{00000000-0005-0000-0000-000073130000}"/>
    <cellStyle name="Migliaia 8 4 2 3" xfId="4154" xr:uid="{00000000-0005-0000-0000-000074130000}"/>
    <cellStyle name="Migliaia 8 4 2 4" xfId="6291" xr:uid="{00000000-0005-0000-0000-000075130000}"/>
    <cellStyle name="Migliaia 8 4 2 5" xfId="7236" xr:uid="{00000000-0005-0000-0000-000076130000}"/>
    <cellStyle name="Migliaia 8 4 2 6" xfId="5314" xr:uid="{00000000-0005-0000-0000-000077130000}"/>
    <cellStyle name="Migliaia 8 4 3" xfId="2610" xr:uid="{00000000-0005-0000-0000-000078130000}"/>
    <cellStyle name="Migliaia 8 4 4" xfId="4155" xr:uid="{00000000-0005-0000-0000-000079130000}"/>
    <cellStyle name="Migliaia 8 4 5" xfId="6290" xr:uid="{00000000-0005-0000-0000-00007A130000}"/>
    <cellStyle name="Migliaia 8 4 6" xfId="7235" xr:uid="{00000000-0005-0000-0000-00007B130000}"/>
    <cellStyle name="Migliaia 8 4 7" xfId="5313" xr:uid="{00000000-0005-0000-0000-00007C130000}"/>
    <cellStyle name="Migliaia 8 5" xfId="1319" xr:uid="{00000000-0005-0000-0000-00007D130000}"/>
    <cellStyle name="Migliaia 8 5 2" xfId="4156" xr:uid="{00000000-0005-0000-0000-00007E130000}"/>
    <cellStyle name="Migliaia 8 5 3" xfId="6292" xr:uid="{00000000-0005-0000-0000-00007F130000}"/>
    <cellStyle name="Migliaia 8 5 4" xfId="7237" xr:uid="{00000000-0005-0000-0000-000080130000}"/>
    <cellStyle name="Migliaia 8 5 5" xfId="5315" xr:uid="{00000000-0005-0000-0000-000081130000}"/>
    <cellStyle name="Migliaia 8 6" xfId="4157" xr:uid="{00000000-0005-0000-0000-000082130000}"/>
    <cellStyle name="Migliaia 8 7" xfId="6284" xr:uid="{00000000-0005-0000-0000-000083130000}"/>
    <cellStyle name="Migliaia 8 8" xfId="7229" xr:uid="{00000000-0005-0000-0000-000084130000}"/>
    <cellStyle name="Migliaia 8 9" xfId="5307" xr:uid="{00000000-0005-0000-0000-000085130000}"/>
    <cellStyle name="Migliaia 9" xfId="205" xr:uid="{00000000-0005-0000-0000-000086130000}"/>
    <cellStyle name="Migliaia 9 2" xfId="547" xr:uid="{00000000-0005-0000-0000-000087130000}"/>
    <cellStyle name="Migliaia 9 2 2" xfId="2612" xr:uid="{00000000-0005-0000-0000-000088130000}"/>
    <cellStyle name="Migliaia 9 2 2 2" xfId="4158" xr:uid="{00000000-0005-0000-0000-000089130000}"/>
    <cellStyle name="Migliaia 9 2 2 3" xfId="6295" xr:uid="{00000000-0005-0000-0000-00008A130000}"/>
    <cellStyle name="Migliaia 9 2 2 4" xfId="7240" xr:uid="{00000000-0005-0000-0000-00008B130000}"/>
    <cellStyle name="Migliaia 9 2 2 5" xfId="5318" xr:uid="{00000000-0005-0000-0000-00008C130000}"/>
    <cellStyle name="Migliaia 9 2 3" xfId="4159" xr:uid="{00000000-0005-0000-0000-00008D130000}"/>
    <cellStyle name="Migliaia 9 2 4" xfId="6294" xr:uid="{00000000-0005-0000-0000-00008E130000}"/>
    <cellStyle name="Migliaia 9 2 5" xfId="7239" xr:uid="{00000000-0005-0000-0000-00008F130000}"/>
    <cellStyle name="Migliaia 9 2 6" xfId="5317" xr:uid="{00000000-0005-0000-0000-000090130000}"/>
    <cellStyle name="Migliaia 9 3" xfId="1320" xr:uid="{00000000-0005-0000-0000-000091130000}"/>
    <cellStyle name="Migliaia 9 3 2" xfId="1321" xr:uid="{00000000-0005-0000-0000-000092130000}"/>
    <cellStyle name="Migliaia 9 3 2 2" xfId="4160" xr:uid="{00000000-0005-0000-0000-000093130000}"/>
    <cellStyle name="Migliaia 9 3 2 2 2" xfId="6298" xr:uid="{00000000-0005-0000-0000-000094130000}"/>
    <cellStyle name="Migliaia 9 3 2 2 3" xfId="7243" xr:uid="{00000000-0005-0000-0000-000095130000}"/>
    <cellStyle name="Migliaia 9 3 2 2 4" xfId="5321" xr:uid="{00000000-0005-0000-0000-000096130000}"/>
    <cellStyle name="Migliaia 9 3 2 3" xfId="4161" xr:uid="{00000000-0005-0000-0000-000097130000}"/>
    <cellStyle name="Migliaia 9 3 2 4" xfId="6297" xr:uid="{00000000-0005-0000-0000-000098130000}"/>
    <cellStyle name="Migliaia 9 3 2 5" xfId="7242" xr:uid="{00000000-0005-0000-0000-000099130000}"/>
    <cellStyle name="Migliaia 9 3 2 6" xfId="5320" xr:uid="{00000000-0005-0000-0000-00009A130000}"/>
    <cellStyle name="Migliaia 9 3 3" xfId="1322" xr:uid="{00000000-0005-0000-0000-00009B130000}"/>
    <cellStyle name="Migliaia 9 3 3 2" xfId="2614" xr:uid="{00000000-0005-0000-0000-00009C130000}"/>
    <cellStyle name="Migliaia 9 3 4" xfId="2613" xr:uid="{00000000-0005-0000-0000-00009D130000}"/>
    <cellStyle name="Migliaia 9 3 5" xfId="4162" xr:uid="{00000000-0005-0000-0000-00009E130000}"/>
    <cellStyle name="Migliaia 9 3 6" xfId="6296" xr:uid="{00000000-0005-0000-0000-00009F130000}"/>
    <cellStyle name="Migliaia 9 3 7" xfId="7241" xr:uid="{00000000-0005-0000-0000-0000A0130000}"/>
    <cellStyle name="Migliaia 9 3 8" xfId="5319" xr:uid="{00000000-0005-0000-0000-0000A1130000}"/>
    <cellStyle name="Migliaia 9 4" xfId="1323" xr:uid="{00000000-0005-0000-0000-0000A2130000}"/>
    <cellStyle name="Migliaia 9 4 2" xfId="1324" xr:uid="{00000000-0005-0000-0000-0000A3130000}"/>
    <cellStyle name="Migliaia 9 4 2 2" xfId="2616" xr:uid="{00000000-0005-0000-0000-0000A4130000}"/>
    <cellStyle name="Migliaia 9 4 2 3" xfId="4163" xr:uid="{00000000-0005-0000-0000-0000A5130000}"/>
    <cellStyle name="Migliaia 9 4 2 4" xfId="6300" xr:uid="{00000000-0005-0000-0000-0000A6130000}"/>
    <cellStyle name="Migliaia 9 4 2 5" xfId="7245" xr:uid="{00000000-0005-0000-0000-0000A7130000}"/>
    <cellStyle name="Migliaia 9 4 2 6" xfId="5323" xr:uid="{00000000-0005-0000-0000-0000A8130000}"/>
    <cellStyle name="Migliaia 9 4 3" xfId="2615" xr:uid="{00000000-0005-0000-0000-0000A9130000}"/>
    <cellStyle name="Migliaia 9 4 4" xfId="4164" xr:uid="{00000000-0005-0000-0000-0000AA130000}"/>
    <cellStyle name="Migliaia 9 4 5" xfId="6299" xr:uid="{00000000-0005-0000-0000-0000AB130000}"/>
    <cellStyle name="Migliaia 9 4 6" xfId="7244" xr:uid="{00000000-0005-0000-0000-0000AC130000}"/>
    <cellStyle name="Migliaia 9 4 7" xfId="5322" xr:uid="{00000000-0005-0000-0000-0000AD130000}"/>
    <cellStyle name="Migliaia 9 5" xfId="1325" xr:uid="{00000000-0005-0000-0000-0000AE130000}"/>
    <cellStyle name="Migliaia 9 5 2" xfId="4165" xr:uid="{00000000-0005-0000-0000-0000AF130000}"/>
    <cellStyle name="Migliaia 9 5 3" xfId="6301" xr:uid="{00000000-0005-0000-0000-0000B0130000}"/>
    <cellStyle name="Migliaia 9 5 4" xfId="7246" xr:uid="{00000000-0005-0000-0000-0000B1130000}"/>
    <cellStyle name="Migliaia 9 5 5" xfId="5324" xr:uid="{00000000-0005-0000-0000-0000B2130000}"/>
    <cellStyle name="Migliaia 9 6" xfId="4166" xr:uid="{00000000-0005-0000-0000-0000B3130000}"/>
    <cellStyle name="Migliaia 9 7" xfId="6293" xr:uid="{00000000-0005-0000-0000-0000B4130000}"/>
    <cellStyle name="Migliaia 9 8" xfId="7238" xr:uid="{00000000-0005-0000-0000-0000B5130000}"/>
    <cellStyle name="Migliaia 9 9" xfId="5316" xr:uid="{00000000-0005-0000-0000-0000B6130000}"/>
    <cellStyle name="Neutral 2" xfId="442" xr:uid="{00000000-0005-0000-0000-0000B7130000}"/>
    <cellStyle name="Neutral 2 2" xfId="4167" xr:uid="{00000000-0005-0000-0000-0000B8130000}"/>
    <cellStyle name="Neutral 2 3" xfId="5325" xr:uid="{00000000-0005-0000-0000-0000B9130000}"/>
    <cellStyle name="Neutrale" xfId="206" xr:uid="{00000000-0005-0000-0000-0000BA130000}"/>
    <cellStyle name="Normal" xfId="0" builtinId="0"/>
    <cellStyle name="Normal 10" xfId="1326" xr:uid="{00000000-0005-0000-0000-0000BC130000}"/>
    <cellStyle name="Normal 10 2" xfId="2617" xr:uid="{00000000-0005-0000-0000-0000BD130000}"/>
    <cellStyle name="Normal 11" xfId="2011" xr:uid="{00000000-0005-0000-0000-0000BE130000}"/>
    <cellStyle name="Normal 11 2" xfId="3267" xr:uid="{00000000-0005-0000-0000-0000BF130000}"/>
    <cellStyle name="Normal 11 2 2" xfId="6428" xr:uid="{00000000-0005-0000-0000-0000C0130000}"/>
    <cellStyle name="Normal 11 2 3" xfId="7354" xr:uid="{00000000-0005-0000-0000-0000C1130000}"/>
    <cellStyle name="Normal 11 2 4" xfId="7487" xr:uid="{00000000-0005-0000-0000-0000C2130000}"/>
    <cellStyle name="Normal 11 3" xfId="3269" xr:uid="{00000000-0005-0000-0000-0000C3130000}"/>
    <cellStyle name="Normal 11 3 2" xfId="6429" xr:uid="{00000000-0005-0000-0000-0000C4130000}"/>
    <cellStyle name="Normal 11 3 3" xfId="7344" xr:uid="{00000000-0005-0000-0000-0000C5130000}"/>
    <cellStyle name="Normal 11 3 4" xfId="7477" xr:uid="{00000000-0005-0000-0000-0000C6130000}"/>
    <cellStyle name="Normal 11 3 5" xfId="5486" xr:uid="{00000000-0005-0000-0000-0000C7130000}"/>
    <cellStyle name="Normal 11 3 6" xfId="7720" xr:uid="{00000000-0005-0000-0000-0000C8130000}"/>
    <cellStyle name="Normal 12" xfId="2013" xr:uid="{00000000-0005-0000-0000-0000C9130000}"/>
    <cellStyle name="Normal 12 2" xfId="4168" xr:uid="{00000000-0005-0000-0000-0000CA130000}"/>
    <cellStyle name="Normal 12 2 2" xfId="6303" xr:uid="{00000000-0005-0000-0000-0000CB130000}"/>
    <cellStyle name="Normal 12 2 3" xfId="7248" xr:uid="{00000000-0005-0000-0000-0000CC130000}"/>
    <cellStyle name="Normal 12 2 4" xfId="7381" xr:uid="{00000000-0005-0000-0000-0000CD130000}"/>
    <cellStyle name="Normal 12 3" xfId="4169" xr:uid="{00000000-0005-0000-0000-0000CE130000}"/>
    <cellStyle name="Normal 12 4" xfId="6302" xr:uid="{00000000-0005-0000-0000-0000CF130000}"/>
    <cellStyle name="Normal 12 5" xfId="7247" xr:uid="{00000000-0005-0000-0000-0000D0130000}"/>
    <cellStyle name="Normal 12 6" xfId="7380" xr:uid="{00000000-0005-0000-0000-0000D1130000}"/>
    <cellStyle name="Normal 13" xfId="656" xr:uid="{00000000-0005-0000-0000-0000D2130000}"/>
    <cellStyle name="Normal 13 2" xfId="4489" xr:uid="{00000000-0005-0000-0000-0000D3130000}"/>
    <cellStyle name="Normal 14" xfId="4170" xr:uid="{00000000-0005-0000-0000-0000D4130000}"/>
    <cellStyle name="Normal 15" xfId="4171" xr:uid="{00000000-0005-0000-0000-0000D5130000}"/>
    <cellStyle name="Normal 16" xfId="4172" xr:uid="{00000000-0005-0000-0000-0000D6130000}"/>
    <cellStyle name="Normal 16 2" xfId="4173" xr:uid="{00000000-0005-0000-0000-0000D7130000}"/>
    <cellStyle name="Normal 16 3" xfId="4174" xr:uid="{00000000-0005-0000-0000-0000D8130000}"/>
    <cellStyle name="Normal 16 3 2" xfId="6305" xr:uid="{00000000-0005-0000-0000-0000D9130000}"/>
    <cellStyle name="Normal 16 3 3" xfId="7250" xr:uid="{00000000-0005-0000-0000-0000DA130000}"/>
    <cellStyle name="Normal 16 3 4" xfId="7383" xr:uid="{00000000-0005-0000-0000-0000DB130000}"/>
    <cellStyle name="Normal 16 4" xfId="6304" xr:uid="{00000000-0005-0000-0000-0000DC130000}"/>
    <cellStyle name="Normal 16 5" xfId="7249" xr:uid="{00000000-0005-0000-0000-0000DD130000}"/>
    <cellStyle name="Normal 16 6" xfId="7382" xr:uid="{00000000-0005-0000-0000-0000DE130000}"/>
    <cellStyle name="Normal 17" xfId="4175" xr:uid="{00000000-0005-0000-0000-0000DF130000}"/>
    <cellStyle name="Normal 17 2" xfId="4176" xr:uid="{00000000-0005-0000-0000-0000E0130000}"/>
    <cellStyle name="Normal 18" xfId="4177" xr:uid="{00000000-0005-0000-0000-0000E1130000}"/>
    <cellStyle name="Normal 18 2" xfId="4178" xr:uid="{00000000-0005-0000-0000-0000E2130000}"/>
    <cellStyle name="Normal 19" xfId="4179" xr:uid="{00000000-0005-0000-0000-0000E3130000}"/>
    <cellStyle name="Normal 19 2" xfId="4180" xr:uid="{00000000-0005-0000-0000-0000E4130000}"/>
    <cellStyle name="Normal 19 3" xfId="4181" xr:uid="{00000000-0005-0000-0000-0000E5130000}"/>
    <cellStyle name="Normal 19 3 2" xfId="6307" xr:uid="{00000000-0005-0000-0000-0000E6130000}"/>
    <cellStyle name="Normal 19 3 3" xfId="7252" xr:uid="{00000000-0005-0000-0000-0000E7130000}"/>
    <cellStyle name="Normal 19 3 4" xfId="7385" xr:uid="{00000000-0005-0000-0000-0000E8130000}"/>
    <cellStyle name="Normal 19 4" xfId="6306" xr:uid="{00000000-0005-0000-0000-0000E9130000}"/>
    <cellStyle name="Normal 19 5" xfId="7251" xr:uid="{00000000-0005-0000-0000-0000EA130000}"/>
    <cellStyle name="Normal 19 6" xfId="7384" xr:uid="{00000000-0005-0000-0000-0000EB130000}"/>
    <cellStyle name="Normal 2" xfId="1" xr:uid="{00000000-0005-0000-0000-0000EC130000}"/>
    <cellStyle name="Normal 2 2" xfId="8" xr:uid="{00000000-0005-0000-0000-0000ED130000}"/>
    <cellStyle name="Normal 2 2 2" xfId="1327" xr:uid="{00000000-0005-0000-0000-0000EE130000}"/>
    <cellStyle name="Normal 2 2 2 2" xfId="1328" xr:uid="{00000000-0005-0000-0000-0000EF130000}"/>
    <cellStyle name="Normal 2 2 2 2 2" xfId="4182" xr:uid="{00000000-0005-0000-0000-0000F0130000}"/>
    <cellStyle name="Normal 2 2 2 2 2 2" xfId="4183" xr:uid="{00000000-0005-0000-0000-0000F1130000}"/>
    <cellStyle name="Normal 2 2 2 2 2 2 2" xfId="6311" xr:uid="{00000000-0005-0000-0000-0000F2130000}"/>
    <cellStyle name="Normal 2 2 2 2 2 2 3" xfId="7256" xr:uid="{00000000-0005-0000-0000-0000F3130000}"/>
    <cellStyle name="Normal 2 2 2 2 2 2 4" xfId="7389" xr:uid="{00000000-0005-0000-0000-0000F4130000}"/>
    <cellStyle name="Normal 2 2 2 2 2 3" xfId="6310" xr:uid="{00000000-0005-0000-0000-0000F5130000}"/>
    <cellStyle name="Normal 2 2 2 2 2 4" xfId="7255" xr:uid="{00000000-0005-0000-0000-0000F6130000}"/>
    <cellStyle name="Normal 2 2 2 2 2 5" xfId="7388" xr:uid="{00000000-0005-0000-0000-0000F7130000}"/>
    <cellStyle name="Normal 2 2 2 2 3" xfId="4184" xr:uid="{00000000-0005-0000-0000-0000F8130000}"/>
    <cellStyle name="Normal 2 2 2 2 3 2" xfId="6312" xr:uid="{00000000-0005-0000-0000-0000F9130000}"/>
    <cellStyle name="Normal 2 2 2 2 3 3" xfId="7257" xr:uid="{00000000-0005-0000-0000-0000FA130000}"/>
    <cellStyle name="Normal 2 2 2 2 3 4" xfId="7390" xr:uid="{00000000-0005-0000-0000-0000FB130000}"/>
    <cellStyle name="Normal 2 2 2 2 4" xfId="4185" xr:uid="{00000000-0005-0000-0000-0000FC130000}"/>
    <cellStyle name="Normal 2 2 2 2 5" xfId="6309" xr:uid="{00000000-0005-0000-0000-0000FD130000}"/>
    <cellStyle name="Normal 2 2 2 2 6" xfId="7254" xr:uid="{00000000-0005-0000-0000-0000FE130000}"/>
    <cellStyle name="Normal 2 2 2 2 7" xfId="7387" xr:uid="{00000000-0005-0000-0000-0000FF130000}"/>
    <cellStyle name="Normal 2 2 2 3" xfId="2619" xr:uid="{00000000-0005-0000-0000-000000140000}"/>
    <cellStyle name="Normal 2 2 2 4" xfId="4186" xr:uid="{00000000-0005-0000-0000-000001140000}"/>
    <cellStyle name="Normal 2 2 3" xfId="4187" xr:uid="{00000000-0005-0000-0000-000002140000}"/>
    <cellStyle name="Normal 2 2 3 2" xfId="4188" xr:uid="{00000000-0005-0000-0000-000003140000}"/>
    <cellStyle name="Normal 2 2 3 2 2" xfId="4189" xr:uid="{00000000-0005-0000-0000-000004140000}"/>
    <cellStyle name="Normal 2 2 3 2 2 2" xfId="6315" xr:uid="{00000000-0005-0000-0000-000005140000}"/>
    <cellStyle name="Normal 2 2 3 2 2 3" xfId="7260" xr:uid="{00000000-0005-0000-0000-000006140000}"/>
    <cellStyle name="Normal 2 2 3 2 2 4" xfId="7393" xr:uid="{00000000-0005-0000-0000-000007140000}"/>
    <cellStyle name="Normal 2 2 3 2 3" xfId="6314" xr:uid="{00000000-0005-0000-0000-000008140000}"/>
    <cellStyle name="Normal 2 2 3 2 4" xfId="7259" xr:uid="{00000000-0005-0000-0000-000009140000}"/>
    <cellStyle name="Normal 2 2 3 2 5" xfId="7392" xr:uid="{00000000-0005-0000-0000-00000A140000}"/>
    <cellStyle name="Normal 2 2 3 3" xfId="4190" xr:uid="{00000000-0005-0000-0000-00000B140000}"/>
    <cellStyle name="Normal 2 2 3 3 2" xfId="6316" xr:uid="{00000000-0005-0000-0000-00000C140000}"/>
    <cellStyle name="Normal 2 2 3 3 3" xfId="7261" xr:uid="{00000000-0005-0000-0000-00000D140000}"/>
    <cellStyle name="Normal 2 2 3 3 4" xfId="7394" xr:uid="{00000000-0005-0000-0000-00000E140000}"/>
    <cellStyle name="Normal 2 2 3 4" xfId="6313" xr:uid="{00000000-0005-0000-0000-00000F140000}"/>
    <cellStyle name="Normal 2 2 3 5" xfId="7258" xr:uid="{00000000-0005-0000-0000-000010140000}"/>
    <cellStyle name="Normal 2 2 3 6" xfId="7391" xr:uid="{00000000-0005-0000-0000-000011140000}"/>
    <cellStyle name="Normal 2 2 4" xfId="4191" xr:uid="{00000000-0005-0000-0000-000012140000}"/>
    <cellStyle name="Normal 2 2 4 2" xfId="4192" xr:uid="{00000000-0005-0000-0000-000013140000}"/>
    <cellStyle name="Normal 2 2 4 2 2" xfId="6318" xr:uid="{00000000-0005-0000-0000-000014140000}"/>
    <cellStyle name="Normal 2 2 4 2 3" xfId="7263" xr:uid="{00000000-0005-0000-0000-000015140000}"/>
    <cellStyle name="Normal 2 2 4 2 4" xfId="7396" xr:uid="{00000000-0005-0000-0000-000016140000}"/>
    <cellStyle name="Normal 2 2 4 3" xfId="6317" xr:uid="{00000000-0005-0000-0000-000017140000}"/>
    <cellStyle name="Normal 2 2 4 4" xfId="7262" xr:uid="{00000000-0005-0000-0000-000018140000}"/>
    <cellStyle name="Normal 2 2 4 5" xfId="7395" xr:uid="{00000000-0005-0000-0000-000019140000}"/>
    <cellStyle name="Normal 2 2 5" xfId="4193" xr:uid="{00000000-0005-0000-0000-00001A140000}"/>
    <cellStyle name="Normal 2 2 5 2" xfId="6319" xr:uid="{00000000-0005-0000-0000-00001B140000}"/>
    <cellStyle name="Normal 2 2 5 3" xfId="7264" xr:uid="{00000000-0005-0000-0000-00001C140000}"/>
    <cellStyle name="Normal 2 2 5 4" xfId="7397" xr:uid="{00000000-0005-0000-0000-00001D140000}"/>
    <cellStyle name="Normal 2 2 6" xfId="6308" xr:uid="{00000000-0005-0000-0000-00001E140000}"/>
    <cellStyle name="Normal 2 2 7" xfId="7253" xr:uid="{00000000-0005-0000-0000-00001F140000}"/>
    <cellStyle name="Normal 2 2 8" xfId="7386" xr:uid="{00000000-0005-0000-0000-000020140000}"/>
    <cellStyle name="Normal 2 3" xfId="1329" xr:uid="{00000000-0005-0000-0000-000021140000}"/>
    <cellStyle name="Normal 2 3 2" xfId="4194" xr:uid="{00000000-0005-0000-0000-000022140000}"/>
    <cellStyle name="Normal 2 3 3" xfId="5326" xr:uid="{00000000-0005-0000-0000-000023140000}"/>
    <cellStyle name="Normal 2 4" xfId="1330" xr:uid="{00000000-0005-0000-0000-000024140000}"/>
    <cellStyle name="Normal 2 4 2" xfId="2620" xr:uid="{00000000-0005-0000-0000-000025140000}"/>
    <cellStyle name="Normal 2 4 2 2" xfId="4195" xr:uid="{00000000-0005-0000-0000-000026140000}"/>
    <cellStyle name="Normal 2 4 2 2 2" xfId="6322" xr:uid="{00000000-0005-0000-0000-000027140000}"/>
    <cellStyle name="Normal 2 4 2 2 3" xfId="7267" xr:uid="{00000000-0005-0000-0000-000028140000}"/>
    <cellStyle name="Normal 2 4 2 2 4" xfId="7400" xr:uid="{00000000-0005-0000-0000-000029140000}"/>
    <cellStyle name="Normal 2 4 2 3" xfId="4196" xr:uid="{00000000-0005-0000-0000-00002A140000}"/>
    <cellStyle name="Normal 2 4 2 4" xfId="6321" xr:uid="{00000000-0005-0000-0000-00002B140000}"/>
    <cellStyle name="Normal 2 4 2 5" xfId="7266" xr:uid="{00000000-0005-0000-0000-00002C140000}"/>
    <cellStyle name="Normal 2 4 2 6" xfId="7399" xr:uid="{00000000-0005-0000-0000-00002D140000}"/>
    <cellStyle name="Normal 2 4 3" xfId="4197" xr:uid="{00000000-0005-0000-0000-00002E140000}"/>
    <cellStyle name="Normal 2 4 3 2" xfId="6323" xr:uid="{00000000-0005-0000-0000-00002F140000}"/>
    <cellStyle name="Normal 2 4 3 3" xfId="7268" xr:uid="{00000000-0005-0000-0000-000030140000}"/>
    <cellStyle name="Normal 2 4 3 4" xfId="7401" xr:uid="{00000000-0005-0000-0000-000031140000}"/>
    <cellStyle name="Normal 2 4 4" xfId="4198" xr:uid="{00000000-0005-0000-0000-000032140000}"/>
    <cellStyle name="Normal 2 4 5" xfId="6320" xr:uid="{00000000-0005-0000-0000-000033140000}"/>
    <cellStyle name="Normal 2 4 6" xfId="7265" xr:uid="{00000000-0005-0000-0000-000034140000}"/>
    <cellStyle name="Normal 2 4 7" xfId="7398" xr:uid="{00000000-0005-0000-0000-000035140000}"/>
    <cellStyle name="Normal 2 5" xfId="2618" xr:uid="{00000000-0005-0000-0000-000036140000}"/>
    <cellStyle name="Normal 2_Plants" xfId="4199" xr:uid="{00000000-0005-0000-0000-000037140000}"/>
    <cellStyle name="Normal 20" xfId="4200" xr:uid="{00000000-0005-0000-0000-000038140000}"/>
    <cellStyle name="Normal 21" xfId="4201" xr:uid="{00000000-0005-0000-0000-000039140000}"/>
    <cellStyle name="Normal 22" xfId="4202" xr:uid="{00000000-0005-0000-0000-00003A140000}"/>
    <cellStyle name="Normal 23" xfId="4203" xr:uid="{00000000-0005-0000-0000-00003B140000}"/>
    <cellStyle name="Normal 24" xfId="4204" xr:uid="{00000000-0005-0000-0000-00003C140000}"/>
    <cellStyle name="Normal 25" xfId="4205" xr:uid="{00000000-0005-0000-0000-00003D140000}"/>
    <cellStyle name="Normal 26" xfId="4206" xr:uid="{00000000-0005-0000-0000-00003E140000}"/>
    <cellStyle name="Normal 27" xfId="4207" xr:uid="{00000000-0005-0000-0000-00003F140000}"/>
    <cellStyle name="Normal 28" xfId="4208" xr:uid="{00000000-0005-0000-0000-000040140000}"/>
    <cellStyle name="Normal 29" xfId="4209" xr:uid="{00000000-0005-0000-0000-000041140000}"/>
    <cellStyle name="Normal 29 2" xfId="4210" xr:uid="{00000000-0005-0000-0000-000042140000}"/>
    <cellStyle name="Normal 29 2 2" xfId="6325" xr:uid="{00000000-0005-0000-0000-000043140000}"/>
    <cellStyle name="Normal 29 2 3" xfId="7270" xr:uid="{00000000-0005-0000-0000-000044140000}"/>
    <cellStyle name="Normal 29 2 4" xfId="7403" xr:uid="{00000000-0005-0000-0000-000045140000}"/>
    <cellStyle name="Normal 29 3" xfId="6324" xr:uid="{00000000-0005-0000-0000-000046140000}"/>
    <cellStyle name="Normal 29 4" xfId="7269" xr:uid="{00000000-0005-0000-0000-000047140000}"/>
    <cellStyle name="Normal 29 5" xfId="7402" xr:uid="{00000000-0005-0000-0000-000048140000}"/>
    <cellStyle name="Normal 3" xfId="2" xr:uid="{00000000-0005-0000-0000-000049140000}"/>
    <cellStyle name="Normal 3 10" xfId="4211" xr:uid="{00000000-0005-0000-0000-00004A140000}"/>
    <cellStyle name="Normal 3 11" xfId="4212" xr:uid="{00000000-0005-0000-0000-00004B140000}"/>
    <cellStyle name="Normal 3 12" xfId="4213" xr:uid="{00000000-0005-0000-0000-00004C140000}"/>
    <cellStyle name="Normal 3 13" xfId="4214" xr:uid="{00000000-0005-0000-0000-00004D140000}"/>
    <cellStyle name="Normal 3 14" xfId="4215" xr:uid="{00000000-0005-0000-0000-00004E140000}"/>
    <cellStyle name="Normal 3 15" xfId="4216" xr:uid="{00000000-0005-0000-0000-00004F140000}"/>
    <cellStyle name="Normal 3 16" xfId="4217" xr:uid="{00000000-0005-0000-0000-000050140000}"/>
    <cellStyle name="Normal 3 16 2" xfId="6327" xr:uid="{00000000-0005-0000-0000-000051140000}"/>
    <cellStyle name="Normal 3 16 3" xfId="7272" xr:uid="{00000000-0005-0000-0000-000052140000}"/>
    <cellStyle name="Normal 3 16 4" xfId="7405" xr:uid="{00000000-0005-0000-0000-000053140000}"/>
    <cellStyle name="Normal 3 17" xfId="6326" xr:uid="{00000000-0005-0000-0000-000054140000}"/>
    <cellStyle name="Normal 3 18" xfId="7271" xr:uid="{00000000-0005-0000-0000-000055140000}"/>
    <cellStyle name="Normal 3 19" xfId="7404" xr:uid="{00000000-0005-0000-0000-000056140000}"/>
    <cellStyle name="Normal 3 2" xfId="1332" xr:uid="{00000000-0005-0000-0000-000057140000}"/>
    <cellStyle name="Normal 3 2 2" xfId="1333" xr:uid="{00000000-0005-0000-0000-000058140000}"/>
    <cellStyle name="Normal 3 2 2 2" xfId="2622" xr:uid="{00000000-0005-0000-0000-000059140000}"/>
    <cellStyle name="Normal 3 2 2 3" xfId="4218" xr:uid="{00000000-0005-0000-0000-00005A140000}"/>
    <cellStyle name="Normal 3 2 2 3 2" xfId="4219" xr:uid="{00000000-0005-0000-0000-00005B140000}"/>
    <cellStyle name="Normal 3 2 2 3 2 2" xfId="6331" xr:uid="{00000000-0005-0000-0000-00005C140000}"/>
    <cellStyle name="Normal 3 2 2 3 2 3" xfId="7276" xr:uid="{00000000-0005-0000-0000-00005D140000}"/>
    <cellStyle name="Normal 3 2 2 3 2 4" xfId="7409" xr:uid="{00000000-0005-0000-0000-00005E140000}"/>
    <cellStyle name="Normal 3 2 2 3 3" xfId="6330" xr:uid="{00000000-0005-0000-0000-00005F140000}"/>
    <cellStyle name="Normal 3 2 2 3 4" xfId="7275" xr:uid="{00000000-0005-0000-0000-000060140000}"/>
    <cellStyle name="Normal 3 2 2 3 5" xfId="7408" xr:uid="{00000000-0005-0000-0000-000061140000}"/>
    <cellStyle name="Normal 3 2 2 4" xfId="4220" xr:uid="{00000000-0005-0000-0000-000062140000}"/>
    <cellStyle name="Normal 3 2 2 4 2" xfId="6332" xr:uid="{00000000-0005-0000-0000-000063140000}"/>
    <cellStyle name="Normal 3 2 2 4 3" xfId="7277" xr:uid="{00000000-0005-0000-0000-000064140000}"/>
    <cellStyle name="Normal 3 2 2 4 4" xfId="7410" xr:uid="{00000000-0005-0000-0000-000065140000}"/>
    <cellStyle name="Normal 3 2 2 5" xfId="6329" xr:uid="{00000000-0005-0000-0000-000066140000}"/>
    <cellStyle name="Normal 3 2 2 6" xfId="7274" xr:uid="{00000000-0005-0000-0000-000067140000}"/>
    <cellStyle name="Normal 3 2 2 7" xfId="7407" xr:uid="{00000000-0005-0000-0000-000068140000}"/>
    <cellStyle name="Normal 3 2 3" xfId="2621" xr:uid="{00000000-0005-0000-0000-000069140000}"/>
    <cellStyle name="Normal 3 2 3 2" xfId="4221" xr:uid="{00000000-0005-0000-0000-00006A140000}"/>
    <cellStyle name="Normal 3 2 3 2 2" xfId="4222" xr:uid="{00000000-0005-0000-0000-00006B140000}"/>
    <cellStyle name="Normal 3 2 3 2 2 2" xfId="6335" xr:uid="{00000000-0005-0000-0000-00006C140000}"/>
    <cellStyle name="Normal 3 2 3 2 2 3" xfId="7280" xr:uid="{00000000-0005-0000-0000-00006D140000}"/>
    <cellStyle name="Normal 3 2 3 2 2 4" xfId="7413" xr:uid="{00000000-0005-0000-0000-00006E140000}"/>
    <cellStyle name="Normal 3 2 3 2 3" xfId="6334" xr:uid="{00000000-0005-0000-0000-00006F140000}"/>
    <cellStyle name="Normal 3 2 3 2 4" xfId="7279" xr:uid="{00000000-0005-0000-0000-000070140000}"/>
    <cellStyle name="Normal 3 2 3 2 5" xfId="7412" xr:uid="{00000000-0005-0000-0000-000071140000}"/>
    <cellStyle name="Normal 3 2 3 3" xfId="4223" xr:uid="{00000000-0005-0000-0000-000072140000}"/>
    <cellStyle name="Normal 3 2 3 3 2" xfId="6336" xr:uid="{00000000-0005-0000-0000-000073140000}"/>
    <cellStyle name="Normal 3 2 3 3 3" xfId="7281" xr:uid="{00000000-0005-0000-0000-000074140000}"/>
    <cellStyle name="Normal 3 2 3 3 4" xfId="7414" xr:uid="{00000000-0005-0000-0000-000075140000}"/>
    <cellStyle name="Normal 3 2 3 4" xfId="4224" xr:uid="{00000000-0005-0000-0000-000076140000}"/>
    <cellStyle name="Normal 3 2 3 4 2" xfId="6430" xr:uid="{00000000-0005-0000-0000-000077140000}"/>
    <cellStyle name="Normal 3 2 3 4 3" xfId="7349" xr:uid="{00000000-0005-0000-0000-000078140000}"/>
    <cellStyle name="Normal 3 2 3 4 4" xfId="7482" xr:uid="{00000000-0005-0000-0000-000079140000}"/>
    <cellStyle name="Normal 3 2 3 5" xfId="6333" xr:uid="{00000000-0005-0000-0000-00007A140000}"/>
    <cellStyle name="Normal 3 2 3 6" xfId="7278" xr:uid="{00000000-0005-0000-0000-00007B140000}"/>
    <cellStyle name="Normal 3 2 3 7" xfId="7411" xr:uid="{00000000-0005-0000-0000-00007C140000}"/>
    <cellStyle name="Normal 3 2 4" xfId="4225" xr:uid="{00000000-0005-0000-0000-00007D140000}"/>
    <cellStyle name="Normal 3 2 4 2" xfId="4226" xr:uid="{00000000-0005-0000-0000-00007E140000}"/>
    <cellStyle name="Normal 3 2 4 2 2" xfId="6338" xr:uid="{00000000-0005-0000-0000-00007F140000}"/>
    <cellStyle name="Normal 3 2 4 2 3" xfId="7283" xr:uid="{00000000-0005-0000-0000-000080140000}"/>
    <cellStyle name="Normal 3 2 4 2 4" xfId="7416" xr:uid="{00000000-0005-0000-0000-000081140000}"/>
    <cellStyle name="Normal 3 2 4 3" xfId="6337" xr:uid="{00000000-0005-0000-0000-000082140000}"/>
    <cellStyle name="Normal 3 2 4 4" xfId="7282" xr:uid="{00000000-0005-0000-0000-000083140000}"/>
    <cellStyle name="Normal 3 2 4 5" xfId="7415" xr:uid="{00000000-0005-0000-0000-000084140000}"/>
    <cellStyle name="Normal 3 2 5" xfId="4227" xr:uid="{00000000-0005-0000-0000-000085140000}"/>
    <cellStyle name="Normal 3 2 5 2" xfId="6339" xr:uid="{00000000-0005-0000-0000-000086140000}"/>
    <cellStyle name="Normal 3 2 5 3" xfId="7284" xr:uid="{00000000-0005-0000-0000-000087140000}"/>
    <cellStyle name="Normal 3 2 5 4" xfId="7417" xr:uid="{00000000-0005-0000-0000-000088140000}"/>
    <cellStyle name="Normal 3 2 6" xfId="4228" xr:uid="{00000000-0005-0000-0000-000089140000}"/>
    <cellStyle name="Normal 3 2 6 2" xfId="6431" xr:uid="{00000000-0005-0000-0000-00008A140000}"/>
    <cellStyle name="Normal 3 2 6 3" xfId="7339" xr:uid="{00000000-0005-0000-0000-00008B140000}"/>
    <cellStyle name="Normal 3 2 6 4" xfId="7472" xr:uid="{00000000-0005-0000-0000-00008C140000}"/>
    <cellStyle name="Normal 3 2 7" xfId="6328" xr:uid="{00000000-0005-0000-0000-00008D140000}"/>
    <cellStyle name="Normal 3 2 8" xfId="7273" xr:uid="{00000000-0005-0000-0000-00008E140000}"/>
    <cellStyle name="Normal 3 2 9" xfId="7406" xr:uid="{00000000-0005-0000-0000-00008F140000}"/>
    <cellStyle name="Normal 3 3" xfId="1334" xr:uid="{00000000-0005-0000-0000-000090140000}"/>
    <cellStyle name="Normal 3 3 2" xfId="2623" xr:uid="{00000000-0005-0000-0000-000091140000}"/>
    <cellStyle name="Normal 3 3 2 2" xfId="4229" xr:uid="{00000000-0005-0000-0000-000092140000}"/>
    <cellStyle name="Normal 3 3 2 2 2" xfId="4230" xr:uid="{00000000-0005-0000-0000-000093140000}"/>
    <cellStyle name="Normal 3 3 2 2 2 2" xfId="6343" xr:uid="{00000000-0005-0000-0000-000094140000}"/>
    <cellStyle name="Normal 3 3 2 2 2 3" xfId="7288" xr:uid="{00000000-0005-0000-0000-000095140000}"/>
    <cellStyle name="Normal 3 3 2 2 2 4" xfId="7421" xr:uid="{00000000-0005-0000-0000-000096140000}"/>
    <cellStyle name="Normal 3 3 2 2 3" xfId="6342" xr:uid="{00000000-0005-0000-0000-000097140000}"/>
    <cellStyle name="Normal 3 3 2 2 4" xfId="7287" xr:uid="{00000000-0005-0000-0000-000098140000}"/>
    <cellStyle name="Normal 3 3 2 2 5" xfId="7420" xr:uid="{00000000-0005-0000-0000-000099140000}"/>
    <cellStyle name="Normal 3 3 2 3" xfId="4231" xr:uid="{00000000-0005-0000-0000-00009A140000}"/>
    <cellStyle name="Normal 3 3 2 3 2" xfId="6344" xr:uid="{00000000-0005-0000-0000-00009B140000}"/>
    <cellStyle name="Normal 3 3 2 3 3" xfId="7289" xr:uid="{00000000-0005-0000-0000-00009C140000}"/>
    <cellStyle name="Normal 3 3 2 3 4" xfId="7422" xr:uid="{00000000-0005-0000-0000-00009D140000}"/>
    <cellStyle name="Normal 3 3 2 4" xfId="4232" xr:uid="{00000000-0005-0000-0000-00009E140000}"/>
    <cellStyle name="Normal 3 3 2 4 2" xfId="6432" xr:uid="{00000000-0005-0000-0000-00009F140000}"/>
    <cellStyle name="Normal 3 3 2 4 3" xfId="7350" xr:uid="{00000000-0005-0000-0000-0000A0140000}"/>
    <cellStyle name="Normal 3 3 2 4 4" xfId="7483" xr:uid="{00000000-0005-0000-0000-0000A1140000}"/>
    <cellStyle name="Normal 3 3 2 5" xfId="6341" xr:uid="{00000000-0005-0000-0000-0000A2140000}"/>
    <cellStyle name="Normal 3 3 2 6" xfId="7286" xr:uid="{00000000-0005-0000-0000-0000A3140000}"/>
    <cellStyle name="Normal 3 3 2 7" xfId="7419" xr:uid="{00000000-0005-0000-0000-0000A4140000}"/>
    <cellStyle name="Normal 3 3 3" xfId="4233" xr:uid="{00000000-0005-0000-0000-0000A5140000}"/>
    <cellStyle name="Normal 3 3 3 2" xfId="4234" xr:uid="{00000000-0005-0000-0000-0000A6140000}"/>
    <cellStyle name="Normal 3 3 3 2 2" xfId="6346" xr:uid="{00000000-0005-0000-0000-0000A7140000}"/>
    <cellStyle name="Normal 3 3 3 2 3" xfId="7291" xr:uid="{00000000-0005-0000-0000-0000A8140000}"/>
    <cellStyle name="Normal 3 3 3 2 4" xfId="7424" xr:uid="{00000000-0005-0000-0000-0000A9140000}"/>
    <cellStyle name="Normal 3 3 3 3" xfId="6345" xr:uid="{00000000-0005-0000-0000-0000AA140000}"/>
    <cellStyle name="Normal 3 3 3 4" xfId="7290" xr:uid="{00000000-0005-0000-0000-0000AB140000}"/>
    <cellStyle name="Normal 3 3 3 5" xfId="7423" xr:uid="{00000000-0005-0000-0000-0000AC140000}"/>
    <cellStyle name="Normal 3 3 4" xfId="4235" xr:uid="{00000000-0005-0000-0000-0000AD140000}"/>
    <cellStyle name="Normal 3 3 4 2" xfId="6347" xr:uid="{00000000-0005-0000-0000-0000AE140000}"/>
    <cellStyle name="Normal 3 3 4 3" xfId="7292" xr:uid="{00000000-0005-0000-0000-0000AF140000}"/>
    <cellStyle name="Normal 3 3 4 4" xfId="7425" xr:uid="{00000000-0005-0000-0000-0000B0140000}"/>
    <cellStyle name="Normal 3 3 5" xfId="4236" xr:uid="{00000000-0005-0000-0000-0000B1140000}"/>
    <cellStyle name="Normal 3 3 5 2" xfId="6433" xr:uid="{00000000-0005-0000-0000-0000B2140000}"/>
    <cellStyle name="Normal 3 3 5 3" xfId="7340" xr:uid="{00000000-0005-0000-0000-0000B3140000}"/>
    <cellStyle name="Normal 3 3 5 4" xfId="7473" xr:uid="{00000000-0005-0000-0000-0000B4140000}"/>
    <cellStyle name="Normal 3 3 6" xfId="6340" xr:uid="{00000000-0005-0000-0000-0000B5140000}"/>
    <cellStyle name="Normal 3 3 7" xfId="7285" xr:uid="{00000000-0005-0000-0000-0000B6140000}"/>
    <cellStyle name="Normal 3 3 8" xfId="7418" xr:uid="{00000000-0005-0000-0000-0000B7140000}"/>
    <cellStyle name="Normal 3 4" xfId="1331" xr:uid="{00000000-0005-0000-0000-0000B8140000}"/>
    <cellStyle name="Normal 3 4 2" xfId="4237" xr:uid="{00000000-0005-0000-0000-0000B9140000}"/>
    <cellStyle name="Normal 3 5" xfId="4238" xr:uid="{00000000-0005-0000-0000-0000BA140000}"/>
    <cellStyle name="Normal 3 6" xfId="4239" xr:uid="{00000000-0005-0000-0000-0000BB140000}"/>
    <cellStyle name="Normal 3 6 2" xfId="4240" xr:uid="{00000000-0005-0000-0000-0000BC140000}"/>
    <cellStyle name="Normal 3 6 2 2" xfId="6349" xr:uid="{00000000-0005-0000-0000-0000BD140000}"/>
    <cellStyle name="Normal 3 6 2 3" xfId="7294" xr:uid="{00000000-0005-0000-0000-0000BE140000}"/>
    <cellStyle name="Normal 3 6 2 4" xfId="7427" xr:uid="{00000000-0005-0000-0000-0000BF140000}"/>
    <cellStyle name="Normal 3 6 3" xfId="6348" xr:uid="{00000000-0005-0000-0000-0000C0140000}"/>
    <cellStyle name="Normal 3 6 4" xfId="7293" xr:uid="{00000000-0005-0000-0000-0000C1140000}"/>
    <cellStyle name="Normal 3 6 5" xfId="7426" xr:uid="{00000000-0005-0000-0000-0000C2140000}"/>
    <cellStyle name="Normal 3 7" xfId="4241" xr:uid="{00000000-0005-0000-0000-0000C3140000}"/>
    <cellStyle name="Normal 3 8" xfId="4242" xr:uid="{00000000-0005-0000-0000-0000C4140000}"/>
    <cellStyle name="Normal 3 9" xfId="4243" xr:uid="{00000000-0005-0000-0000-0000C5140000}"/>
    <cellStyle name="Normal 30" xfId="4244" xr:uid="{00000000-0005-0000-0000-0000C6140000}"/>
    <cellStyle name="Normal 30 2" xfId="6434" xr:uid="{00000000-0005-0000-0000-0000C7140000}"/>
    <cellStyle name="Normal 30 3" xfId="7331" xr:uid="{00000000-0005-0000-0000-0000C8140000}"/>
    <cellStyle name="Normal 30 4" xfId="7464" xr:uid="{00000000-0005-0000-0000-0000C9140000}"/>
    <cellStyle name="Normal 31" xfId="4245" xr:uid="{00000000-0005-0000-0000-0000CA140000}"/>
    <cellStyle name="Normal 32" xfId="4246" xr:uid="{00000000-0005-0000-0000-0000CB140000}"/>
    <cellStyle name="Normal 33" xfId="4247" xr:uid="{00000000-0005-0000-0000-0000CC140000}"/>
    <cellStyle name="Normal 34" xfId="4248" xr:uid="{00000000-0005-0000-0000-0000CD140000}"/>
    <cellStyle name="Normal 38" xfId="7721" xr:uid="{00000000-0005-0000-0000-0000CE140000}"/>
    <cellStyle name="Normal 4" xfId="3" xr:uid="{00000000-0005-0000-0000-0000CF140000}"/>
    <cellStyle name="Normal 4 10" xfId="4249" xr:uid="{00000000-0005-0000-0000-0000D0140000}"/>
    <cellStyle name="Normal 4 11" xfId="4250" xr:uid="{00000000-0005-0000-0000-0000D1140000}"/>
    <cellStyle name="Normal 4 12" xfId="4251" xr:uid="{00000000-0005-0000-0000-0000D2140000}"/>
    <cellStyle name="Normal 4 13" xfId="4252" xr:uid="{00000000-0005-0000-0000-0000D3140000}"/>
    <cellStyle name="Normal 4 14" xfId="4253" xr:uid="{00000000-0005-0000-0000-0000D4140000}"/>
    <cellStyle name="Normal 4 15" xfId="4254" xr:uid="{00000000-0005-0000-0000-0000D5140000}"/>
    <cellStyle name="Normal 4 2" xfId="1336" xr:uid="{00000000-0005-0000-0000-0000D6140000}"/>
    <cellStyle name="Normal 4 2 2" xfId="2624" xr:uid="{00000000-0005-0000-0000-0000D7140000}"/>
    <cellStyle name="Normal 4 3" xfId="1335" xr:uid="{00000000-0005-0000-0000-0000D8140000}"/>
    <cellStyle name="Normal 4 4" xfId="4255" xr:uid="{00000000-0005-0000-0000-0000D9140000}"/>
    <cellStyle name="Normal 4 5" xfId="4256" xr:uid="{00000000-0005-0000-0000-0000DA140000}"/>
    <cellStyle name="Normal 4 6" xfId="4257" xr:uid="{00000000-0005-0000-0000-0000DB140000}"/>
    <cellStyle name="Normal 4 7" xfId="4258" xr:uid="{00000000-0005-0000-0000-0000DC140000}"/>
    <cellStyle name="Normal 4 8" xfId="4259" xr:uid="{00000000-0005-0000-0000-0000DD140000}"/>
    <cellStyle name="Normal 4 9" xfId="4260" xr:uid="{00000000-0005-0000-0000-0000DE140000}"/>
    <cellStyle name="Normal 5" xfId="4" xr:uid="{00000000-0005-0000-0000-0000DF140000}"/>
    <cellStyle name="Normal 5 2" xfId="2076" xr:uid="{00000000-0005-0000-0000-0000E0140000}"/>
    <cellStyle name="Normal 5 2 2" xfId="2077" xr:uid="{00000000-0005-0000-0000-0000E1140000}"/>
    <cellStyle name="Normal 5 2 2 2" xfId="2078" xr:uid="{00000000-0005-0000-0000-0000E2140000}"/>
    <cellStyle name="Normal 5 2 2 3" xfId="4261" xr:uid="{00000000-0005-0000-0000-0000E3140000}"/>
    <cellStyle name="Normal 5 2 3" xfId="4262" xr:uid="{00000000-0005-0000-0000-0000E4140000}"/>
    <cellStyle name="Normal 5 2 3 2" xfId="4263" xr:uid="{00000000-0005-0000-0000-0000E5140000}"/>
    <cellStyle name="Normal 5 3" xfId="4264" xr:uid="{00000000-0005-0000-0000-0000E6140000}"/>
    <cellStyle name="Normal 6" xfId="19" xr:uid="{00000000-0005-0000-0000-0000E7140000}"/>
    <cellStyle name="Normal 6 2" xfId="444" xr:uid="{00000000-0005-0000-0000-0000E8140000}"/>
    <cellStyle name="Normal 6 2 2" xfId="2626" xr:uid="{00000000-0005-0000-0000-0000E9140000}"/>
    <cellStyle name="Normal 6 2 3" xfId="4265" xr:uid="{00000000-0005-0000-0000-0000EA140000}"/>
    <cellStyle name="Normal 6 2 3 2" xfId="4266" xr:uid="{00000000-0005-0000-0000-0000EB140000}"/>
    <cellStyle name="Normal 6 2 3 2 2" xfId="6353" xr:uid="{00000000-0005-0000-0000-0000EC140000}"/>
    <cellStyle name="Normal 6 2 3 2 3" xfId="7298" xr:uid="{00000000-0005-0000-0000-0000ED140000}"/>
    <cellStyle name="Normal 6 2 3 2 4" xfId="7431" xr:uid="{00000000-0005-0000-0000-0000EE140000}"/>
    <cellStyle name="Normal 6 2 3 3" xfId="6352" xr:uid="{00000000-0005-0000-0000-0000EF140000}"/>
    <cellStyle name="Normal 6 2 3 4" xfId="7297" xr:uid="{00000000-0005-0000-0000-0000F0140000}"/>
    <cellStyle name="Normal 6 2 3 5" xfId="7430" xr:uid="{00000000-0005-0000-0000-0000F1140000}"/>
    <cellStyle name="Normal 6 2 4" xfId="4267" xr:uid="{00000000-0005-0000-0000-0000F2140000}"/>
    <cellStyle name="Normal 6 2 4 2" xfId="6354" xr:uid="{00000000-0005-0000-0000-0000F3140000}"/>
    <cellStyle name="Normal 6 2 4 3" xfId="7299" xr:uid="{00000000-0005-0000-0000-0000F4140000}"/>
    <cellStyle name="Normal 6 2 4 4" xfId="7432" xr:uid="{00000000-0005-0000-0000-0000F5140000}"/>
    <cellStyle name="Normal 6 2 5" xfId="6351" xr:uid="{00000000-0005-0000-0000-0000F6140000}"/>
    <cellStyle name="Normal 6 2 6" xfId="7296" xr:uid="{00000000-0005-0000-0000-0000F7140000}"/>
    <cellStyle name="Normal 6 2 7" xfId="7429" xr:uid="{00000000-0005-0000-0000-0000F8140000}"/>
    <cellStyle name="Normal 6 3" xfId="2625" xr:uid="{00000000-0005-0000-0000-0000F9140000}"/>
    <cellStyle name="Normal 6 3 2" xfId="4268" xr:uid="{00000000-0005-0000-0000-0000FA140000}"/>
    <cellStyle name="Normal 6 3 2 2" xfId="4269" xr:uid="{00000000-0005-0000-0000-0000FB140000}"/>
    <cellStyle name="Normal 6 3 2 2 2" xfId="4270" xr:uid="{00000000-0005-0000-0000-0000FC140000}"/>
    <cellStyle name="Normal 6 3 2 2 2 2" xfId="6357" xr:uid="{00000000-0005-0000-0000-0000FD140000}"/>
    <cellStyle name="Normal 6 3 2 2 2 3" xfId="7302" xr:uid="{00000000-0005-0000-0000-0000FE140000}"/>
    <cellStyle name="Normal 6 3 2 2 2 4" xfId="7435" xr:uid="{00000000-0005-0000-0000-0000FF140000}"/>
    <cellStyle name="Normal 6 3 2 2 3" xfId="6356" xr:uid="{00000000-0005-0000-0000-000000150000}"/>
    <cellStyle name="Normal 6 3 2 2 4" xfId="7301" xr:uid="{00000000-0005-0000-0000-000001150000}"/>
    <cellStyle name="Normal 6 3 2 2 5" xfId="7434" xr:uid="{00000000-0005-0000-0000-000002150000}"/>
    <cellStyle name="Normal 6 3 2 3" xfId="4271" xr:uid="{00000000-0005-0000-0000-000003150000}"/>
    <cellStyle name="Normal 6 3 2 3 2" xfId="6358" xr:uid="{00000000-0005-0000-0000-000004150000}"/>
    <cellStyle name="Normal 6 3 2 3 3" xfId="7303" xr:uid="{00000000-0005-0000-0000-000005150000}"/>
    <cellStyle name="Normal 6 3 2 3 4" xfId="7436" xr:uid="{00000000-0005-0000-0000-000006150000}"/>
    <cellStyle name="Normal 6 3 2 4" xfId="6355" xr:uid="{00000000-0005-0000-0000-000007150000}"/>
    <cellStyle name="Normal 6 3 2 5" xfId="7300" xr:uid="{00000000-0005-0000-0000-000008150000}"/>
    <cellStyle name="Normal 6 3 2 6" xfId="7433" xr:uid="{00000000-0005-0000-0000-000009150000}"/>
    <cellStyle name="Normal 6 3 3" xfId="4272" xr:uid="{00000000-0005-0000-0000-00000A150000}"/>
    <cellStyle name="Normal 6 3 3 2" xfId="6435" xr:uid="{00000000-0005-0000-0000-00000B150000}"/>
    <cellStyle name="Normal 6 3 3 3" xfId="7351" xr:uid="{00000000-0005-0000-0000-00000C150000}"/>
    <cellStyle name="Normal 6 3 3 4" xfId="7484" xr:uid="{00000000-0005-0000-0000-00000D150000}"/>
    <cellStyle name="Normal 6 3 4" xfId="5327" xr:uid="{00000000-0005-0000-0000-00000E150000}"/>
    <cellStyle name="Normal 6 4" xfId="1337" xr:uid="{00000000-0005-0000-0000-00000F150000}"/>
    <cellStyle name="Normal 6 4 2" xfId="4273" xr:uid="{00000000-0005-0000-0000-000010150000}"/>
    <cellStyle name="Normal 6 4 2 2" xfId="6360" xr:uid="{00000000-0005-0000-0000-000011150000}"/>
    <cellStyle name="Normal 6 4 2 3" xfId="7305" xr:uid="{00000000-0005-0000-0000-000012150000}"/>
    <cellStyle name="Normal 6 4 2 4" xfId="7438" xr:uid="{00000000-0005-0000-0000-000013150000}"/>
    <cellStyle name="Normal 6 4 3" xfId="4274" xr:uid="{00000000-0005-0000-0000-000014150000}"/>
    <cellStyle name="Normal 6 4 3 2" xfId="6436" xr:uid="{00000000-0005-0000-0000-000015150000}"/>
    <cellStyle name="Normal 6 4 3 3" xfId="7341" xr:uid="{00000000-0005-0000-0000-000016150000}"/>
    <cellStyle name="Normal 6 4 3 4" xfId="7474" xr:uid="{00000000-0005-0000-0000-000017150000}"/>
    <cellStyle name="Normal 6 4 4" xfId="6359" xr:uid="{00000000-0005-0000-0000-000018150000}"/>
    <cellStyle name="Normal 6 4 5" xfId="7304" xr:uid="{00000000-0005-0000-0000-000019150000}"/>
    <cellStyle name="Normal 6 4 6" xfId="7437" xr:uid="{00000000-0005-0000-0000-00001A150000}"/>
    <cellStyle name="Normal 6 5" xfId="4275" xr:uid="{00000000-0005-0000-0000-00001B150000}"/>
    <cellStyle name="Normal 6 5 2" xfId="6361" xr:uid="{00000000-0005-0000-0000-00001C150000}"/>
    <cellStyle name="Normal 6 5 3" xfId="7306" xr:uid="{00000000-0005-0000-0000-00001D150000}"/>
    <cellStyle name="Normal 6 5 4" xfId="7439" xr:uid="{00000000-0005-0000-0000-00001E150000}"/>
    <cellStyle name="Normal 6 6" xfId="6350" xr:uid="{00000000-0005-0000-0000-00001F150000}"/>
    <cellStyle name="Normal 6 7" xfId="7295" xr:uid="{00000000-0005-0000-0000-000020150000}"/>
    <cellStyle name="Normal 6 8" xfId="7428" xr:uid="{00000000-0005-0000-0000-000021150000}"/>
    <cellStyle name="Normal 7" xfId="1338" xr:uid="{00000000-0005-0000-0000-000022150000}"/>
    <cellStyle name="Normal 7 2" xfId="1339" xr:uid="{00000000-0005-0000-0000-000023150000}"/>
    <cellStyle name="Normal 7 2 2" xfId="4276" xr:uid="{00000000-0005-0000-0000-000024150000}"/>
    <cellStyle name="Normal 7 2 3" xfId="5328" xr:uid="{00000000-0005-0000-0000-000025150000}"/>
    <cellStyle name="Normal 7 3" xfId="4277" xr:uid="{00000000-0005-0000-0000-000026150000}"/>
    <cellStyle name="Normal 7 3 2" xfId="4278" xr:uid="{00000000-0005-0000-0000-000027150000}"/>
    <cellStyle name="Normal 7 3 2 2" xfId="4279" xr:uid="{00000000-0005-0000-0000-000028150000}"/>
    <cellStyle name="Normal 7 3 2 2 2" xfId="6364" xr:uid="{00000000-0005-0000-0000-000029150000}"/>
    <cellStyle name="Normal 7 3 2 2 3" xfId="7309" xr:uid="{00000000-0005-0000-0000-00002A150000}"/>
    <cellStyle name="Normal 7 3 2 2 4" xfId="7442" xr:uid="{00000000-0005-0000-0000-00002B150000}"/>
    <cellStyle name="Normal 7 3 2 3" xfId="6363" xr:uid="{00000000-0005-0000-0000-00002C150000}"/>
    <cellStyle name="Normal 7 3 2 4" xfId="7308" xr:uid="{00000000-0005-0000-0000-00002D150000}"/>
    <cellStyle name="Normal 7 3 2 5" xfId="7441" xr:uid="{00000000-0005-0000-0000-00002E150000}"/>
    <cellStyle name="Normal 7 3 3" xfId="4280" xr:uid="{00000000-0005-0000-0000-00002F150000}"/>
    <cellStyle name="Normal 7 3 3 2" xfId="6365" xr:uid="{00000000-0005-0000-0000-000030150000}"/>
    <cellStyle name="Normal 7 3 3 3" xfId="7310" xr:uid="{00000000-0005-0000-0000-000031150000}"/>
    <cellStyle name="Normal 7 3 3 4" xfId="7443" xr:uid="{00000000-0005-0000-0000-000032150000}"/>
    <cellStyle name="Normal 7 3 4" xfId="6362" xr:uid="{00000000-0005-0000-0000-000033150000}"/>
    <cellStyle name="Normal 7 3 5" xfId="7307" xr:uid="{00000000-0005-0000-0000-000034150000}"/>
    <cellStyle name="Normal 7 3 6" xfId="7440" xr:uid="{00000000-0005-0000-0000-000035150000}"/>
    <cellStyle name="Normal 8" xfId="1340" xr:uid="{00000000-0005-0000-0000-000036150000}"/>
    <cellStyle name="Normal 8 2" xfId="1341" xr:uid="{00000000-0005-0000-0000-000037150000}"/>
    <cellStyle name="Normal 8 2 2" xfId="2627" xr:uid="{00000000-0005-0000-0000-000038150000}"/>
    <cellStyle name="Normal 8 2 2 2" xfId="4281" xr:uid="{00000000-0005-0000-0000-000039150000}"/>
    <cellStyle name="Normal 8 2 2 2 2" xfId="4282" xr:uid="{00000000-0005-0000-0000-00003A150000}"/>
    <cellStyle name="Normal 8 2 2 2 2 2" xfId="6368" xr:uid="{00000000-0005-0000-0000-00003B150000}"/>
    <cellStyle name="Normal 8 2 2 2 2 3" xfId="7313" xr:uid="{00000000-0005-0000-0000-00003C150000}"/>
    <cellStyle name="Normal 8 2 2 2 2 4" xfId="7446" xr:uid="{00000000-0005-0000-0000-00003D150000}"/>
    <cellStyle name="Normal 8 2 2 2 3" xfId="6367" xr:uid="{00000000-0005-0000-0000-00003E150000}"/>
    <cellStyle name="Normal 8 2 2 2 4" xfId="7312" xr:uid="{00000000-0005-0000-0000-00003F150000}"/>
    <cellStyle name="Normal 8 2 2 2 5" xfId="7445" xr:uid="{00000000-0005-0000-0000-000040150000}"/>
    <cellStyle name="Normal 8 2 2 3" xfId="4283" xr:uid="{00000000-0005-0000-0000-000041150000}"/>
    <cellStyle name="Normal 8 2 2 3 2" xfId="6369" xr:uid="{00000000-0005-0000-0000-000042150000}"/>
    <cellStyle name="Normal 8 2 2 3 3" xfId="7314" xr:uid="{00000000-0005-0000-0000-000043150000}"/>
    <cellStyle name="Normal 8 2 2 3 4" xfId="7447" xr:uid="{00000000-0005-0000-0000-000044150000}"/>
    <cellStyle name="Normal 8 2 2 4" xfId="4284" xr:uid="{00000000-0005-0000-0000-000045150000}"/>
    <cellStyle name="Normal 8 2 2 4 2" xfId="6437" xr:uid="{00000000-0005-0000-0000-000046150000}"/>
    <cellStyle name="Normal 8 2 2 4 3" xfId="7352" xr:uid="{00000000-0005-0000-0000-000047150000}"/>
    <cellStyle name="Normal 8 2 2 4 4" xfId="7485" xr:uid="{00000000-0005-0000-0000-000048150000}"/>
    <cellStyle name="Normal 8 2 2 5" xfId="6366" xr:uid="{00000000-0005-0000-0000-000049150000}"/>
    <cellStyle name="Normal 8 2 2 6" xfId="7311" xr:uid="{00000000-0005-0000-0000-00004A150000}"/>
    <cellStyle name="Normal 8 2 2 7" xfId="7444" xr:uid="{00000000-0005-0000-0000-00004B150000}"/>
    <cellStyle name="Normal 8 2 3" xfId="4285" xr:uid="{00000000-0005-0000-0000-00004C150000}"/>
    <cellStyle name="Normal 8 2 3 2" xfId="6438" xr:uid="{00000000-0005-0000-0000-00004D150000}"/>
    <cellStyle name="Normal 8 2 3 3" xfId="7342" xr:uid="{00000000-0005-0000-0000-00004E150000}"/>
    <cellStyle name="Normal 8 2 3 4" xfId="7475" xr:uid="{00000000-0005-0000-0000-00004F150000}"/>
    <cellStyle name="Normal 8 2 4" xfId="5330" xr:uid="{00000000-0005-0000-0000-000050150000}"/>
    <cellStyle name="Normal 8 3" xfId="4286" xr:uid="{00000000-0005-0000-0000-000051150000}"/>
    <cellStyle name="Normal 8 4" xfId="5329" xr:uid="{00000000-0005-0000-0000-000052150000}"/>
    <cellStyle name="Normal 9" xfId="1342" xr:uid="{00000000-0005-0000-0000-000053150000}"/>
    <cellStyle name="Normal 9 2" xfId="4287" xr:uid="{00000000-0005-0000-0000-000054150000}"/>
    <cellStyle name="Normal 9 2 2" xfId="4288" xr:uid="{00000000-0005-0000-0000-000055150000}"/>
    <cellStyle name="Normal 9 2 2 2" xfId="6371" xr:uid="{00000000-0005-0000-0000-000056150000}"/>
    <cellStyle name="Normal 9 2 2 3" xfId="7316" xr:uid="{00000000-0005-0000-0000-000057150000}"/>
    <cellStyle name="Normal 9 2 2 4" xfId="7449" xr:uid="{00000000-0005-0000-0000-000058150000}"/>
    <cellStyle name="Normal 9 2 3" xfId="6370" xr:uid="{00000000-0005-0000-0000-000059150000}"/>
    <cellStyle name="Normal 9 2 4" xfId="7315" xr:uid="{00000000-0005-0000-0000-00005A150000}"/>
    <cellStyle name="Normal 9 2 5" xfId="7448" xr:uid="{00000000-0005-0000-0000-00005B150000}"/>
    <cellStyle name="Normal 9 3" xfId="4289" xr:uid="{00000000-0005-0000-0000-00005C150000}"/>
    <cellStyle name="Normal 9 4" xfId="5331" xr:uid="{00000000-0005-0000-0000-00005D150000}"/>
    <cellStyle name="Normal GHG Numbers (0.00)" xfId="1343" xr:uid="{00000000-0005-0000-0000-00005E150000}"/>
    <cellStyle name="Normal GHG Numbers (0.00) 2" xfId="4290" xr:uid="{00000000-0005-0000-0000-00005F150000}"/>
    <cellStyle name="Normal GHG Numbers (0.00) 2 2" xfId="5333" xr:uid="{00000000-0005-0000-0000-000060150000}"/>
    <cellStyle name="Normal GHG Numbers (0.00) 2 3" xfId="7514" xr:uid="{00000000-0005-0000-0000-000061150000}"/>
    <cellStyle name="Normal GHG Numbers (0.00) 2 4" xfId="7586" xr:uid="{00000000-0005-0000-0000-000062150000}"/>
    <cellStyle name="Normal GHG Numbers (0.00) 2 5" xfId="7652" xr:uid="{00000000-0005-0000-0000-000063150000}"/>
    <cellStyle name="Normal GHG Numbers (0.00) 3" xfId="4291" xr:uid="{00000000-0005-0000-0000-000064150000}"/>
    <cellStyle name="Normal GHG Numbers (0.00) 3 2" xfId="5334" xr:uid="{00000000-0005-0000-0000-000065150000}"/>
    <cellStyle name="Normal GHG Numbers (0.00) 3 3" xfId="7515" xr:uid="{00000000-0005-0000-0000-000066150000}"/>
    <cellStyle name="Normal GHG Numbers (0.00) 3 4" xfId="7587" xr:uid="{00000000-0005-0000-0000-000067150000}"/>
    <cellStyle name="Normal GHG Numbers (0.00) 3 5" xfId="7653" xr:uid="{00000000-0005-0000-0000-000068150000}"/>
    <cellStyle name="Normal GHG Numbers (0.00) 4" xfId="5332" xr:uid="{00000000-0005-0000-0000-000069150000}"/>
    <cellStyle name="Normal GHG Numbers (0.00) 5" xfId="7494" xr:uid="{00000000-0005-0000-0000-00006A150000}"/>
    <cellStyle name="Normal GHG Numbers (0.00) 6" xfId="7566" xr:uid="{00000000-0005-0000-0000-00006B150000}"/>
    <cellStyle name="Normal GHG Numbers (0.00) 7" xfId="7651" xr:uid="{00000000-0005-0000-0000-00006C150000}"/>
    <cellStyle name="Normal GHG Textfiels Bold" xfId="1344" xr:uid="{00000000-0005-0000-0000-00006D150000}"/>
    <cellStyle name="Normal GHG-Shade" xfId="1345" xr:uid="{00000000-0005-0000-0000-00006E150000}"/>
    <cellStyle name="Normal GHG-Shade 2" xfId="2628" xr:uid="{00000000-0005-0000-0000-00006F150000}"/>
    <cellStyle name="Normale 10" xfId="207" xr:uid="{00000000-0005-0000-0000-000070150000}"/>
    <cellStyle name="Normale 10 2" xfId="208" xr:uid="{00000000-0005-0000-0000-000071150000}"/>
    <cellStyle name="Normale 10 2 2" xfId="2630" xr:uid="{00000000-0005-0000-0000-000072150000}"/>
    <cellStyle name="Normale 10 3" xfId="209" xr:uid="{00000000-0005-0000-0000-000073150000}"/>
    <cellStyle name="Normale 10 3 2" xfId="2631" xr:uid="{00000000-0005-0000-0000-000074150000}"/>
    <cellStyle name="Normale 10 4" xfId="2629" xr:uid="{00000000-0005-0000-0000-000075150000}"/>
    <cellStyle name="Normale 10_EDEN industria 2008 rev" xfId="210" xr:uid="{00000000-0005-0000-0000-000076150000}"/>
    <cellStyle name="Normale 11" xfId="211" xr:uid="{00000000-0005-0000-0000-000077150000}"/>
    <cellStyle name="Normale 11 2" xfId="212" xr:uid="{00000000-0005-0000-0000-000078150000}"/>
    <cellStyle name="Normale 11 2 2" xfId="2633" xr:uid="{00000000-0005-0000-0000-000079150000}"/>
    <cellStyle name="Normale 11 3" xfId="213" xr:uid="{00000000-0005-0000-0000-00007A150000}"/>
    <cellStyle name="Normale 11 3 2" xfId="2634" xr:uid="{00000000-0005-0000-0000-00007B150000}"/>
    <cellStyle name="Normale 11 4" xfId="2632" xr:uid="{00000000-0005-0000-0000-00007C150000}"/>
    <cellStyle name="Normale 11_EDEN industria 2008 rev" xfId="214" xr:uid="{00000000-0005-0000-0000-00007D150000}"/>
    <cellStyle name="Normale 12" xfId="215" xr:uid="{00000000-0005-0000-0000-00007E150000}"/>
    <cellStyle name="Normale 12 2" xfId="216" xr:uid="{00000000-0005-0000-0000-00007F150000}"/>
    <cellStyle name="Normale 12 2 2" xfId="2636" xr:uid="{00000000-0005-0000-0000-000080150000}"/>
    <cellStyle name="Normale 12 3" xfId="217" xr:uid="{00000000-0005-0000-0000-000081150000}"/>
    <cellStyle name="Normale 12 3 2" xfId="2637" xr:uid="{00000000-0005-0000-0000-000082150000}"/>
    <cellStyle name="Normale 12 4" xfId="2635" xr:uid="{00000000-0005-0000-0000-000083150000}"/>
    <cellStyle name="Normale 12_EDEN industria 2008 rev" xfId="218" xr:uid="{00000000-0005-0000-0000-000084150000}"/>
    <cellStyle name="Normale 13" xfId="219" xr:uid="{00000000-0005-0000-0000-000085150000}"/>
    <cellStyle name="Normale 13 2" xfId="220" xr:uid="{00000000-0005-0000-0000-000086150000}"/>
    <cellStyle name="Normale 13 2 2" xfId="2639" xr:uid="{00000000-0005-0000-0000-000087150000}"/>
    <cellStyle name="Normale 13 3" xfId="221" xr:uid="{00000000-0005-0000-0000-000088150000}"/>
    <cellStyle name="Normale 13 3 2" xfId="2640" xr:uid="{00000000-0005-0000-0000-000089150000}"/>
    <cellStyle name="Normale 13 4" xfId="2638" xr:uid="{00000000-0005-0000-0000-00008A150000}"/>
    <cellStyle name="Normale 13_EDEN industria 2008 rev" xfId="222" xr:uid="{00000000-0005-0000-0000-00008B150000}"/>
    <cellStyle name="Normale 14" xfId="223" xr:uid="{00000000-0005-0000-0000-00008C150000}"/>
    <cellStyle name="Normale 14 2" xfId="224" xr:uid="{00000000-0005-0000-0000-00008D150000}"/>
    <cellStyle name="Normale 14 2 2" xfId="2642" xr:uid="{00000000-0005-0000-0000-00008E150000}"/>
    <cellStyle name="Normale 14 3" xfId="225" xr:uid="{00000000-0005-0000-0000-00008F150000}"/>
    <cellStyle name="Normale 14 3 2" xfId="2643" xr:uid="{00000000-0005-0000-0000-000090150000}"/>
    <cellStyle name="Normale 14 4" xfId="2641" xr:uid="{00000000-0005-0000-0000-000091150000}"/>
    <cellStyle name="Normale 14_EDEN industria 2008 rev" xfId="226" xr:uid="{00000000-0005-0000-0000-000092150000}"/>
    <cellStyle name="Normale 15" xfId="227" xr:uid="{00000000-0005-0000-0000-000093150000}"/>
    <cellStyle name="Normale 15 2" xfId="228" xr:uid="{00000000-0005-0000-0000-000094150000}"/>
    <cellStyle name="Normale 15 2 2" xfId="2645" xr:uid="{00000000-0005-0000-0000-000095150000}"/>
    <cellStyle name="Normale 15 3" xfId="229" xr:uid="{00000000-0005-0000-0000-000096150000}"/>
    <cellStyle name="Normale 15 3 2" xfId="2646" xr:uid="{00000000-0005-0000-0000-000097150000}"/>
    <cellStyle name="Normale 15 4" xfId="2644" xr:uid="{00000000-0005-0000-0000-000098150000}"/>
    <cellStyle name="Normale 15_EDEN industria 2008 rev" xfId="230" xr:uid="{00000000-0005-0000-0000-000099150000}"/>
    <cellStyle name="Normale 16" xfId="231" xr:uid="{00000000-0005-0000-0000-00009A150000}"/>
    <cellStyle name="Normale 16 2" xfId="2647" xr:uid="{00000000-0005-0000-0000-00009B150000}"/>
    <cellStyle name="Normale 17" xfId="232" xr:uid="{00000000-0005-0000-0000-00009C150000}"/>
    <cellStyle name="Normale 17 2" xfId="2648" xr:uid="{00000000-0005-0000-0000-00009D150000}"/>
    <cellStyle name="Normale 18" xfId="233" xr:uid="{00000000-0005-0000-0000-00009E150000}"/>
    <cellStyle name="Normale 18 2" xfId="4292" xr:uid="{00000000-0005-0000-0000-00009F150000}"/>
    <cellStyle name="Normale 19" xfId="234" xr:uid="{00000000-0005-0000-0000-0000A0150000}"/>
    <cellStyle name="Normale 19 2" xfId="4293" xr:uid="{00000000-0005-0000-0000-0000A1150000}"/>
    <cellStyle name="Normale 2" xfId="235" xr:uid="{00000000-0005-0000-0000-0000A2150000}"/>
    <cellStyle name="Normale 2 2" xfId="236" xr:uid="{00000000-0005-0000-0000-0000A3150000}"/>
    <cellStyle name="Normale 2 2 2" xfId="2650" xr:uid="{00000000-0005-0000-0000-0000A4150000}"/>
    <cellStyle name="Normale 2 3" xfId="2649" xr:uid="{00000000-0005-0000-0000-0000A5150000}"/>
    <cellStyle name="Normale 2_EDEN industria 2008 rev" xfId="237" xr:uid="{00000000-0005-0000-0000-0000A6150000}"/>
    <cellStyle name="Normale 20" xfId="238" xr:uid="{00000000-0005-0000-0000-0000A7150000}"/>
    <cellStyle name="Normale 20 2" xfId="2651" xr:uid="{00000000-0005-0000-0000-0000A8150000}"/>
    <cellStyle name="Normale 21" xfId="239" xr:uid="{00000000-0005-0000-0000-0000A9150000}"/>
    <cellStyle name="Normale 21 2" xfId="2652" xr:uid="{00000000-0005-0000-0000-0000AA150000}"/>
    <cellStyle name="Normale 22" xfId="240" xr:uid="{00000000-0005-0000-0000-0000AB150000}"/>
    <cellStyle name="Normale 22 2" xfId="2653" xr:uid="{00000000-0005-0000-0000-0000AC150000}"/>
    <cellStyle name="Normale 23" xfId="241" xr:uid="{00000000-0005-0000-0000-0000AD150000}"/>
    <cellStyle name="Normale 23 2" xfId="2654" xr:uid="{00000000-0005-0000-0000-0000AE150000}"/>
    <cellStyle name="Normale 24" xfId="242" xr:uid="{00000000-0005-0000-0000-0000AF150000}"/>
    <cellStyle name="Normale 24 2" xfId="2655" xr:uid="{00000000-0005-0000-0000-0000B0150000}"/>
    <cellStyle name="Normale 25" xfId="243" xr:uid="{00000000-0005-0000-0000-0000B1150000}"/>
    <cellStyle name="Normale 25 2" xfId="2656" xr:uid="{00000000-0005-0000-0000-0000B2150000}"/>
    <cellStyle name="Normale 26" xfId="244" xr:uid="{00000000-0005-0000-0000-0000B3150000}"/>
    <cellStyle name="Normale 26 2" xfId="2657" xr:uid="{00000000-0005-0000-0000-0000B4150000}"/>
    <cellStyle name="Normale 27" xfId="245" xr:uid="{00000000-0005-0000-0000-0000B5150000}"/>
    <cellStyle name="Normale 27 2" xfId="2658" xr:uid="{00000000-0005-0000-0000-0000B6150000}"/>
    <cellStyle name="Normale 28" xfId="246" xr:uid="{00000000-0005-0000-0000-0000B7150000}"/>
    <cellStyle name="Normale 28 2" xfId="2659" xr:uid="{00000000-0005-0000-0000-0000B8150000}"/>
    <cellStyle name="Normale 29" xfId="247" xr:uid="{00000000-0005-0000-0000-0000B9150000}"/>
    <cellStyle name="Normale 29 2" xfId="2660" xr:uid="{00000000-0005-0000-0000-0000BA150000}"/>
    <cellStyle name="Normale 3" xfId="248" xr:uid="{00000000-0005-0000-0000-0000BB150000}"/>
    <cellStyle name="Normale 3 2" xfId="249" xr:uid="{00000000-0005-0000-0000-0000BC150000}"/>
    <cellStyle name="Normale 3 2 2" xfId="2662" xr:uid="{00000000-0005-0000-0000-0000BD150000}"/>
    <cellStyle name="Normale 3 3" xfId="250" xr:uid="{00000000-0005-0000-0000-0000BE150000}"/>
    <cellStyle name="Normale 3 3 2" xfId="2663" xr:uid="{00000000-0005-0000-0000-0000BF150000}"/>
    <cellStyle name="Normale 3 4" xfId="2661" xr:uid="{00000000-0005-0000-0000-0000C0150000}"/>
    <cellStyle name="Normale 3_EDEN industria 2008 rev" xfId="251" xr:uid="{00000000-0005-0000-0000-0000C1150000}"/>
    <cellStyle name="Normale 30" xfId="252" xr:uid="{00000000-0005-0000-0000-0000C2150000}"/>
    <cellStyle name="Normale 30 2" xfId="2664" xr:uid="{00000000-0005-0000-0000-0000C3150000}"/>
    <cellStyle name="Normale 31" xfId="253" xr:uid="{00000000-0005-0000-0000-0000C4150000}"/>
    <cellStyle name="Normale 31 2" xfId="2665" xr:uid="{00000000-0005-0000-0000-0000C5150000}"/>
    <cellStyle name="Normale 32" xfId="254" xr:uid="{00000000-0005-0000-0000-0000C6150000}"/>
    <cellStyle name="Normale 32 2" xfId="2666" xr:uid="{00000000-0005-0000-0000-0000C7150000}"/>
    <cellStyle name="Normale 33" xfId="255" xr:uid="{00000000-0005-0000-0000-0000C8150000}"/>
    <cellStyle name="Normale 33 2" xfId="2667" xr:uid="{00000000-0005-0000-0000-0000C9150000}"/>
    <cellStyle name="Normale 34" xfId="256" xr:uid="{00000000-0005-0000-0000-0000CA150000}"/>
    <cellStyle name="Normale 34 2" xfId="2668" xr:uid="{00000000-0005-0000-0000-0000CB150000}"/>
    <cellStyle name="Normale 35" xfId="257" xr:uid="{00000000-0005-0000-0000-0000CC150000}"/>
    <cellStyle name="Normale 35 2" xfId="2669" xr:uid="{00000000-0005-0000-0000-0000CD150000}"/>
    <cellStyle name="Normale 36" xfId="258" xr:uid="{00000000-0005-0000-0000-0000CE150000}"/>
    <cellStyle name="Normale 36 2" xfId="2670" xr:uid="{00000000-0005-0000-0000-0000CF150000}"/>
    <cellStyle name="Normale 37" xfId="259" xr:uid="{00000000-0005-0000-0000-0000D0150000}"/>
    <cellStyle name="Normale 37 2" xfId="2671" xr:uid="{00000000-0005-0000-0000-0000D1150000}"/>
    <cellStyle name="Normale 38" xfId="260" xr:uid="{00000000-0005-0000-0000-0000D2150000}"/>
    <cellStyle name="Normale 38 2" xfId="2672" xr:uid="{00000000-0005-0000-0000-0000D3150000}"/>
    <cellStyle name="Normale 39" xfId="261" xr:uid="{00000000-0005-0000-0000-0000D4150000}"/>
    <cellStyle name="Normale 39 2" xfId="2673" xr:uid="{00000000-0005-0000-0000-0000D5150000}"/>
    <cellStyle name="Normale 4" xfId="262" xr:uid="{00000000-0005-0000-0000-0000D6150000}"/>
    <cellStyle name="Normale 4 2" xfId="263" xr:uid="{00000000-0005-0000-0000-0000D7150000}"/>
    <cellStyle name="Normale 4 2 2" xfId="2675" xr:uid="{00000000-0005-0000-0000-0000D8150000}"/>
    <cellStyle name="Normale 4 3" xfId="264" xr:uid="{00000000-0005-0000-0000-0000D9150000}"/>
    <cellStyle name="Normale 4 3 2" xfId="2676" xr:uid="{00000000-0005-0000-0000-0000DA150000}"/>
    <cellStyle name="Normale 4 4" xfId="2674" xr:uid="{00000000-0005-0000-0000-0000DB150000}"/>
    <cellStyle name="Normale 4_EDEN industria 2008 rev" xfId="265" xr:uid="{00000000-0005-0000-0000-0000DC150000}"/>
    <cellStyle name="Normale 40" xfId="266" xr:uid="{00000000-0005-0000-0000-0000DD150000}"/>
    <cellStyle name="Normale 40 2" xfId="2677" xr:uid="{00000000-0005-0000-0000-0000DE150000}"/>
    <cellStyle name="Normale 41" xfId="267" xr:uid="{00000000-0005-0000-0000-0000DF150000}"/>
    <cellStyle name="Normale 41 2" xfId="2678" xr:uid="{00000000-0005-0000-0000-0000E0150000}"/>
    <cellStyle name="Normale 42" xfId="268" xr:uid="{00000000-0005-0000-0000-0000E1150000}"/>
    <cellStyle name="Normale 42 2" xfId="2679" xr:uid="{00000000-0005-0000-0000-0000E2150000}"/>
    <cellStyle name="Normale 43" xfId="269" xr:uid="{00000000-0005-0000-0000-0000E3150000}"/>
    <cellStyle name="Normale 43 2" xfId="2680" xr:uid="{00000000-0005-0000-0000-0000E4150000}"/>
    <cellStyle name="Normale 44" xfId="270" xr:uid="{00000000-0005-0000-0000-0000E5150000}"/>
    <cellStyle name="Normale 44 2" xfId="2681" xr:uid="{00000000-0005-0000-0000-0000E6150000}"/>
    <cellStyle name="Normale 45" xfId="271" xr:uid="{00000000-0005-0000-0000-0000E7150000}"/>
    <cellStyle name="Normale 45 2" xfId="2682" xr:uid="{00000000-0005-0000-0000-0000E8150000}"/>
    <cellStyle name="Normale 46" xfId="272" xr:uid="{00000000-0005-0000-0000-0000E9150000}"/>
    <cellStyle name="Normale 46 2" xfId="2683" xr:uid="{00000000-0005-0000-0000-0000EA150000}"/>
    <cellStyle name="Normale 47" xfId="273" xr:uid="{00000000-0005-0000-0000-0000EB150000}"/>
    <cellStyle name="Normale 47 2" xfId="2684" xr:uid="{00000000-0005-0000-0000-0000EC150000}"/>
    <cellStyle name="Normale 48" xfId="274" xr:uid="{00000000-0005-0000-0000-0000ED150000}"/>
    <cellStyle name="Normale 48 2" xfId="2685" xr:uid="{00000000-0005-0000-0000-0000EE150000}"/>
    <cellStyle name="Normale 49" xfId="275" xr:uid="{00000000-0005-0000-0000-0000EF150000}"/>
    <cellStyle name="Normale 49 2" xfId="2686" xr:uid="{00000000-0005-0000-0000-0000F0150000}"/>
    <cellStyle name="Normale 5" xfId="276" xr:uid="{00000000-0005-0000-0000-0000F1150000}"/>
    <cellStyle name="Normale 5 2" xfId="277" xr:uid="{00000000-0005-0000-0000-0000F2150000}"/>
    <cellStyle name="Normale 5 2 2" xfId="2688" xr:uid="{00000000-0005-0000-0000-0000F3150000}"/>
    <cellStyle name="Normale 5 3" xfId="278" xr:uid="{00000000-0005-0000-0000-0000F4150000}"/>
    <cellStyle name="Normale 5 3 2" xfId="2689" xr:uid="{00000000-0005-0000-0000-0000F5150000}"/>
    <cellStyle name="Normale 5 4" xfId="2687" xr:uid="{00000000-0005-0000-0000-0000F6150000}"/>
    <cellStyle name="Normale 5_EDEN industria 2008 rev" xfId="279" xr:uid="{00000000-0005-0000-0000-0000F7150000}"/>
    <cellStyle name="Normale 50" xfId="280" xr:uid="{00000000-0005-0000-0000-0000F8150000}"/>
    <cellStyle name="Normale 50 2" xfId="2690" xr:uid="{00000000-0005-0000-0000-0000F9150000}"/>
    <cellStyle name="Normale 51" xfId="281" xr:uid="{00000000-0005-0000-0000-0000FA150000}"/>
    <cellStyle name="Normale 51 2" xfId="2691" xr:uid="{00000000-0005-0000-0000-0000FB150000}"/>
    <cellStyle name="Normale 52" xfId="282" xr:uid="{00000000-0005-0000-0000-0000FC150000}"/>
    <cellStyle name="Normale 52 2" xfId="2692" xr:uid="{00000000-0005-0000-0000-0000FD150000}"/>
    <cellStyle name="Normale 53" xfId="283" xr:uid="{00000000-0005-0000-0000-0000FE150000}"/>
    <cellStyle name="Normale 53 2" xfId="2693" xr:uid="{00000000-0005-0000-0000-0000FF150000}"/>
    <cellStyle name="Normale 54" xfId="284" xr:uid="{00000000-0005-0000-0000-000000160000}"/>
    <cellStyle name="Normale 54 2" xfId="2694" xr:uid="{00000000-0005-0000-0000-000001160000}"/>
    <cellStyle name="Normale 55" xfId="285" xr:uid="{00000000-0005-0000-0000-000002160000}"/>
    <cellStyle name="Normale 55 2" xfId="2695" xr:uid="{00000000-0005-0000-0000-000003160000}"/>
    <cellStyle name="Normale 56" xfId="286" xr:uid="{00000000-0005-0000-0000-000004160000}"/>
    <cellStyle name="Normale 56 2" xfId="2696" xr:uid="{00000000-0005-0000-0000-000005160000}"/>
    <cellStyle name="Normale 57" xfId="287" xr:uid="{00000000-0005-0000-0000-000006160000}"/>
    <cellStyle name="Normale 57 2" xfId="2697" xr:uid="{00000000-0005-0000-0000-000007160000}"/>
    <cellStyle name="Normale 58" xfId="288" xr:uid="{00000000-0005-0000-0000-000008160000}"/>
    <cellStyle name="Normale 58 2" xfId="2698" xr:uid="{00000000-0005-0000-0000-000009160000}"/>
    <cellStyle name="Normale 59" xfId="289" xr:uid="{00000000-0005-0000-0000-00000A160000}"/>
    <cellStyle name="Normale 59 2" xfId="2699" xr:uid="{00000000-0005-0000-0000-00000B160000}"/>
    <cellStyle name="Normale 6" xfId="290" xr:uid="{00000000-0005-0000-0000-00000C160000}"/>
    <cellStyle name="Normale 6 2" xfId="291" xr:uid="{00000000-0005-0000-0000-00000D160000}"/>
    <cellStyle name="Normale 6 2 2" xfId="2701" xr:uid="{00000000-0005-0000-0000-00000E160000}"/>
    <cellStyle name="Normale 6 3" xfId="292" xr:uid="{00000000-0005-0000-0000-00000F160000}"/>
    <cellStyle name="Normale 6 3 2" xfId="2702" xr:uid="{00000000-0005-0000-0000-000010160000}"/>
    <cellStyle name="Normale 6 4" xfId="2700" xr:uid="{00000000-0005-0000-0000-000011160000}"/>
    <cellStyle name="Normale 6_EDEN industria 2008 rev" xfId="293" xr:uid="{00000000-0005-0000-0000-000012160000}"/>
    <cellStyle name="Normale 60" xfId="294" xr:uid="{00000000-0005-0000-0000-000013160000}"/>
    <cellStyle name="Normale 60 2" xfId="2703" xr:uid="{00000000-0005-0000-0000-000014160000}"/>
    <cellStyle name="Normale 61" xfId="295" xr:uid="{00000000-0005-0000-0000-000015160000}"/>
    <cellStyle name="Normale 61 2" xfId="2704" xr:uid="{00000000-0005-0000-0000-000016160000}"/>
    <cellStyle name="Normale 62" xfId="296" xr:uid="{00000000-0005-0000-0000-000017160000}"/>
    <cellStyle name="Normale 62 2" xfId="2705" xr:uid="{00000000-0005-0000-0000-000018160000}"/>
    <cellStyle name="Normale 63" xfId="297" xr:uid="{00000000-0005-0000-0000-000019160000}"/>
    <cellStyle name="Normale 63 2" xfId="2706" xr:uid="{00000000-0005-0000-0000-00001A160000}"/>
    <cellStyle name="Normale 64" xfId="298" xr:uid="{00000000-0005-0000-0000-00001B160000}"/>
    <cellStyle name="Normale 64 2" xfId="2707" xr:uid="{00000000-0005-0000-0000-00001C160000}"/>
    <cellStyle name="Normale 65" xfId="299" xr:uid="{00000000-0005-0000-0000-00001D160000}"/>
    <cellStyle name="Normale 65 2" xfId="2708" xr:uid="{00000000-0005-0000-0000-00001E160000}"/>
    <cellStyle name="Normale 7" xfId="300" xr:uid="{00000000-0005-0000-0000-00001F160000}"/>
    <cellStyle name="Normale 7 2" xfId="301" xr:uid="{00000000-0005-0000-0000-000020160000}"/>
    <cellStyle name="Normale 7 2 2" xfId="2710" xr:uid="{00000000-0005-0000-0000-000021160000}"/>
    <cellStyle name="Normale 7 3" xfId="302" xr:uid="{00000000-0005-0000-0000-000022160000}"/>
    <cellStyle name="Normale 7 3 2" xfId="2711" xr:uid="{00000000-0005-0000-0000-000023160000}"/>
    <cellStyle name="Normale 7 4" xfId="2709" xr:uid="{00000000-0005-0000-0000-000024160000}"/>
    <cellStyle name="Normale 7_EDEN industria 2008 rev" xfId="303" xr:uid="{00000000-0005-0000-0000-000025160000}"/>
    <cellStyle name="Normale 8" xfId="304" xr:uid="{00000000-0005-0000-0000-000026160000}"/>
    <cellStyle name="Normale 8 2" xfId="305" xr:uid="{00000000-0005-0000-0000-000027160000}"/>
    <cellStyle name="Normale 8 2 2" xfId="2713" xr:uid="{00000000-0005-0000-0000-000028160000}"/>
    <cellStyle name="Normale 8 3" xfId="306" xr:uid="{00000000-0005-0000-0000-000029160000}"/>
    <cellStyle name="Normale 8 3 2" xfId="2714" xr:uid="{00000000-0005-0000-0000-00002A160000}"/>
    <cellStyle name="Normale 8 4" xfId="2712" xr:uid="{00000000-0005-0000-0000-00002B160000}"/>
    <cellStyle name="Normale 8_EDEN industria 2008 rev" xfId="307" xr:uid="{00000000-0005-0000-0000-00002C160000}"/>
    <cellStyle name="Normale 9" xfId="308" xr:uid="{00000000-0005-0000-0000-00002D160000}"/>
    <cellStyle name="Normale 9 2" xfId="309" xr:uid="{00000000-0005-0000-0000-00002E160000}"/>
    <cellStyle name="Normale 9 2 2" xfId="2716" xr:uid="{00000000-0005-0000-0000-00002F160000}"/>
    <cellStyle name="Normale 9 3" xfId="310" xr:uid="{00000000-0005-0000-0000-000030160000}"/>
    <cellStyle name="Normale 9 3 2" xfId="2717" xr:uid="{00000000-0005-0000-0000-000031160000}"/>
    <cellStyle name="Normale 9 4" xfId="2715" xr:uid="{00000000-0005-0000-0000-000032160000}"/>
    <cellStyle name="Normale 9_EDEN industria 2008 rev" xfId="311" xr:uid="{00000000-0005-0000-0000-000033160000}"/>
    <cellStyle name="Normale_B2020" xfId="1346" xr:uid="{00000000-0005-0000-0000-000034160000}"/>
    <cellStyle name="Nota" xfId="312" xr:uid="{00000000-0005-0000-0000-000035160000}"/>
    <cellStyle name="Nota 2" xfId="548" xr:uid="{00000000-0005-0000-0000-000036160000}"/>
    <cellStyle name="Nota 2 2" xfId="2718" xr:uid="{00000000-0005-0000-0000-000037160000}"/>
    <cellStyle name="Nota 2 2 2" xfId="7501" xr:uid="{00000000-0005-0000-0000-000038160000}"/>
    <cellStyle name="Nota 2 2 3" xfId="7573" xr:uid="{00000000-0005-0000-0000-000039160000}"/>
    <cellStyle name="Nota 2 2 4" xfId="7656" xr:uid="{00000000-0005-0000-0000-00003A160000}"/>
    <cellStyle name="Nota 2 3" xfId="7492" xr:uid="{00000000-0005-0000-0000-00003B160000}"/>
    <cellStyle name="Nota 2 4" xfId="7564" xr:uid="{00000000-0005-0000-0000-00003C160000}"/>
    <cellStyle name="Nota 2 5" xfId="7655" xr:uid="{00000000-0005-0000-0000-00003D160000}"/>
    <cellStyle name="Nota 3" xfId="1347" xr:uid="{00000000-0005-0000-0000-00003E160000}"/>
    <cellStyle name="Nota 3 2" xfId="1348" xr:uid="{00000000-0005-0000-0000-00003F160000}"/>
    <cellStyle name="Nota 3 2 2" xfId="4294" xr:uid="{00000000-0005-0000-0000-000040160000}"/>
    <cellStyle name="Nota 3 2 2 2" xfId="4295" xr:uid="{00000000-0005-0000-0000-000041160000}"/>
    <cellStyle name="Nota 3 2 2 2 2" xfId="7517" xr:uid="{00000000-0005-0000-0000-000042160000}"/>
    <cellStyle name="Nota 3 2 2 2 3" xfId="7589" xr:uid="{00000000-0005-0000-0000-000043160000}"/>
    <cellStyle name="Nota 3 2 2 2 4" xfId="7660" xr:uid="{00000000-0005-0000-0000-000044160000}"/>
    <cellStyle name="Nota 3 2 2 3" xfId="7516" xr:uid="{00000000-0005-0000-0000-000045160000}"/>
    <cellStyle name="Nota 3 2 2 4" xfId="7588" xr:uid="{00000000-0005-0000-0000-000046160000}"/>
    <cellStyle name="Nota 3 2 2 5" xfId="7659" xr:uid="{00000000-0005-0000-0000-000047160000}"/>
    <cellStyle name="Nota 3 2 3" xfId="4296" xr:uid="{00000000-0005-0000-0000-000048160000}"/>
    <cellStyle name="Nota 3 2 3 2" xfId="7518" xr:uid="{00000000-0005-0000-0000-000049160000}"/>
    <cellStyle name="Nota 3 2 3 3" xfId="7590" xr:uid="{00000000-0005-0000-0000-00004A160000}"/>
    <cellStyle name="Nota 3 2 3 4" xfId="7661" xr:uid="{00000000-0005-0000-0000-00004B160000}"/>
    <cellStyle name="Nota 3 2 4" xfId="7496" xr:uid="{00000000-0005-0000-0000-00004C160000}"/>
    <cellStyle name="Nota 3 2 5" xfId="7568" xr:uid="{00000000-0005-0000-0000-00004D160000}"/>
    <cellStyle name="Nota 3 2 6" xfId="7658" xr:uid="{00000000-0005-0000-0000-00004E160000}"/>
    <cellStyle name="Nota 3 3" xfId="1349" xr:uid="{00000000-0005-0000-0000-00004F160000}"/>
    <cellStyle name="Nota 3 3 2" xfId="2720" xr:uid="{00000000-0005-0000-0000-000050160000}"/>
    <cellStyle name="Nota 3 3 2 2" xfId="7503" xr:uid="{00000000-0005-0000-0000-000051160000}"/>
    <cellStyle name="Nota 3 3 2 3" xfId="7575" xr:uid="{00000000-0005-0000-0000-000052160000}"/>
    <cellStyle name="Nota 3 3 2 4" xfId="7719" xr:uid="{00000000-0005-0000-0000-000053160000}"/>
    <cellStyle name="Nota 3 3 3" xfId="7497" xr:uid="{00000000-0005-0000-0000-000054160000}"/>
    <cellStyle name="Nota 3 3 4" xfId="7569" xr:uid="{00000000-0005-0000-0000-000055160000}"/>
    <cellStyle name="Nota 3 3 5" xfId="7662" xr:uid="{00000000-0005-0000-0000-000056160000}"/>
    <cellStyle name="Nota 3 4" xfId="2719" xr:uid="{00000000-0005-0000-0000-000057160000}"/>
    <cellStyle name="Nota 3 4 2" xfId="7502" xr:uid="{00000000-0005-0000-0000-000058160000}"/>
    <cellStyle name="Nota 3 4 3" xfId="7574" xr:uid="{00000000-0005-0000-0000-000059160000}"/>
    <cellStyle name="Nota 3 4 4" xfId="7718" xr:uid="{00000000-0005-0000-0000-00005A160000}"/>
    <cellStyle name="Nota 3 5" xfId="7495" xr:uid="{00000000-0005-0000-0000-00005B160000}"/>
    <cellStyle name="Nota 3 6" xfId="7567" xr:uid="{00000000-0005-0000-0000-00005C160000}"/>
    <cellStyle name="Nota 3 7" xfId="7657" xr:uid="{00000000-0005-0000-0000-00005D160000}"/>
    <cellStyle name="Nota 4" xfId="1350" xr:uid="{00000000-0005-0000-0000-00005E160000}"/>
    <cellStyle name="Nota 4 2" xfId="1351" xr:uid="{00000000-0005-0000-0000-00005F160000}"/>
    <cellStyle name="Nota 4 2 2" xfId="2722" xr:uid="{00000000-0005-0000-0000-000060160000}"/>
    <cellStyle name="Nota 4 2 2 2" xfId="7505" xr:uid="{00000000-0005-0000-0000-000061160000}"/>
    <cellStyle name="Nota 4 2 2 3" xfId="7577" xr:uid="{00000000-0005-0000-0000-000062160000}"/>
    <cellStyle name="Nota 4 2 2 4" xfId="7665" xr:uid="{00000000-0005-0000-0000-000063160000}"/>
    <cellStyle name="Nota 4 2 3" xfId="7499" xr:uid="{00000000-0005-0000-0000-000064160000}"/>
    <cellStyle name="Nota 4 2 4" xfId="7571" xr:uid="{00000000-0005-0000-0000-000065160000}"/>
    <cellStyle name="Nota 4 2 5" xfId="7664" xr:uid="{00000000-0005-0000-0000-000066160000}"/>
    <cellStyle name="Nota 4 3" xfId="2721" xr:uid="{00000000-0005-0000-0000-000067160000}"/>
    <cellStyle name="Nota 4 3 2" xfId="7504" xr:uid="{00000000-0005-0000-0000-000068160000}"/>
    <cellStyle name="Nota 4 3 3" xfId="7576" xr:uid="{00000000-0005-0000-0000-000069160000}"/>
    <cellStyle name="Nota 4 3 4" xfId="7666" xr:uid="{00000000-0005-0000-0000-00006A160000}"/>
    <cellStyle name="Nota 4 4" xfId="7498" xr:uid="{00000000-0005-0000-0000-00006B160000}"/>
    <cellStyle name="Nota 4 5" xfId="7570" xr:uid="{00000000-0005-0000-0000-00006C160000}"/>
    <cellStyle name="Nota 4 6" xfId="7663" xr:uid="{00000000-0005-0000-0000-00006D160000}"/>
    <cellStyle name="Nota 5" xfId="1352" xr:uid="{00000000-0005-0000-0000-00006E160000}"/>
    <cellStyle name="Nota 5 2" xfId="4297" xr:uid="{00000000-0005-0000-0000-00006F160000}"/>
    <cellStyle name="Nota 5 2 2" xfId="7519" xr:uid="{00000000-0005-0000-0000-000070160000}"/>
    <cellStyle name="Nota 5 2 3" xfId="7591" xr:uid="{00000000-0005-0000-0000-000071160000}"/>
    <cellStyle name="Nota 5 2 4" xfId="7668" xr:uid="{00000000-0005-0000-0000-000072160000}"/>
    <cellStyle name="Nota 5 3" xfId="7500" xr:uid="{00000000-0005-0000-0000-000073160000}"/>
    <cellStyle name="Nota 5 4" xfId="7572" xr:uid="{00000000-0005-0000-0000-000074160000}"/>
    <cellStyle name="Nota 5 5" xfId="7667" xr:uid="{00000000-0005-0000-0000-000075160000}"/>
    <cellStyle name="Nota 6" xfId="4298" xr:uid="{00000000-0005-0000-0000-000076160000}"/>
    <cellStyle name="Nota 6 2" xfId="7520" xr:uid="{00000000-0005-0000-0000-000077160000}"/>
    <cellStyle name="Nota 6 3" xfId="7592" xr:uid="{00000000-0005-0000-0000-000078160000}"/>
    <cellStyle name="Nota 6 4" xfId="7669" xr:uid="{00000000-0005-0000-0000-000079160000}"/>
    <cellStyle name="Nota 7" xfId="7491" xr:uid="{00000000-0005-0000-0000-00007A160000}"/>
    <cellStyle name="Nota 8" xfId="7563" xr:uid="{00000000-0005-0000-0000-00007B160000}"/>
    <cellStyle name="Nota 9" xfId="7654" xr:uid="{00000000-0005-0000-0000-00007C160000}"/>
    <cellStyle name="Note 2" xfId="4299" xr:uid="{00000000-0005-0000-0000-00007D160000}"/>
    <cellStyle name="Note 2 2" xfId="4300" xr:uid="{00000000-0005-0000-0000-00007E160000}"/>
    <cellStyle name="Note 2 2 2" xfId="4301" xr:uid="{00000000-0005-0000-0000-00007F160000}"/>
    <cellStyle name="Note 2 2 2 2" xfId="6374" xr:uid="{00000000-0005-0000-0000-000080160000}"/>
    <cellStyle name="Note 2 2 2 3" xfId="7319" xr:uid="{00000000-0005-0000-0000-000081160000}"/>
    <cellStyle name="Note 2 2 2 4" xfId="7452" xr:uid="{00000000-0005-0000-0000-000082160000}"/>
    <cellStyle name="Note 2 2 3" xfId="6373" xr:uid="{00000000-0005-0000-0000-000083160000}"/>
    <cellStyle name="Note 2 2 4" xfId="7318" xr:uid="{00000000-0005-0000-0000-000084160000}"/>
    <cellStyle name="Note 2 2 5" xfId="7451" xr:uid="{00000000-0005-0000-0000-000085160000}"/>
    <cellStyle name="Note 2 3" xfId="4302" xr:uid="{00000000-0005-0000-0000-000086160000}"/>
    <cellStyle name="Note 2 3 2" xfId="6375" xr:uid="{00000000-0005-0000-0000-000087160000}"/>
    <cellStyle name="Note 2 3 3" xfId="7320" xr:uid="{00000000-0005-0000-0000-000088160000}"/>
    <cellStyle name="Note 2 3 4" xfId="7453" xr:uid="{00000000-0005-0000-0000-000089160000}"/>
    <cellStyle name="Note 2 4" xfId="6372" xr:uid="{00000000-0005-0000-0000-00008A160000}"/>
    <cellStyle name="Note 2 5" xfId="7317" xr:uid="{00000000-0005-0000-0000-00008B160000}"/>
    <cellStyle name="Note 2 6" xfId="7450" xr:uid="{00000000-0005-0000-0000-00008C160000}"/>
    <cellStyle name="Nuovo" xfId="313" xr:uid="{00000000-0005-0000-0000-00008D160000}"/>
    <cellStyle name="Nuovo 10" xfId="314" xr:uid="{00000000-0005-0000-0000-00008E160000}"/>
    <cellStyle name="Nuovo 10 2" xfId="550" xr:uid="{00000000-0005-0000-0000-00008F160000}"/>
    <cellStyle name="Nuovo 10 2 2" xfId="2723" xr:uid="{00000000-0005-0000-0000-000090160000}"/>
    <cellStyle name="Nuovo 10 3" xfId="1353" xr:uid="{00000000-0005-0000-0000-000091160000}"/>
    <cellStyle name="Nuovo 10 3 2" xfId="1354" xr:uid="{00000000-0005-0000-0000-000092160000}"/>
    <cellStyle name="Nuovo 10 3 2 2" xfId="4303" xr:uid="{00000000-0005-0000-0000-000093160000}"/>
    <cellStyle name="Nuovo 10 3 2 3" xfId="5335" xr:uid="{00000000-0005-0000-0000-000094160000}"/>
    <cellStyle name="Nuovo 10 3 3" xfId="1355" xr:uid="{00000000-0005-0000-0000-000095160000}"/>
    <cellStyle name="Nuovo 10 3 3 2" xfId="2725" xr:uid="{00000000-0005-0000-0000-000096160000}"/>
    <cellStyle name="Nuovo 10 3 4" xfId="2724" xr:uid="{00000000-0005-0000-0000-000097160000}"/>
    <cellStyle name="Nuovo 10 4" xfId="1356" xr:uid="{00000000-0005-0000-0000-000098160000}"/>
    <cellStyle name="Nuovo 10 4 2" xfId="1357" xr:uid="{00000000-0005-0000-0000-000099160000}"/>
    <cellStyle name="Nuovo 10 4 2 2" xfId="2727" xr:uid="{00000000-0005-0000-0000-00009A160000}"/>
    <cellStyle name="Nuovo 10 4 3" xfId="2726" xr:uid="{00000000-0005-0000-0000-00009B160000}"/>
    <cellStyle name="Nuovo 10 5" xfId="1358" xr:uid="{00000000-0005-0000-0000-00009C160000}"/>
    <cellStyle name="Nuovo 11" xfId="315" xr:uid="{00000000-0005-0000-0000-00009D160000}"/>
    <cellStyle name="Nuovo 11 2" xfId="551" xr:uid="{00000000-0005-0000-0000-00009E160000}"/>
    <cellStyle name="Nuovo 11 2 2" xfId="2728" xr:uid="{00000000-0005-0000-0000-00009F160000}"/>
    <cellStyle name="Nuovo 11 3" xfId="1359" xr:uid="{00000000-0005-0000-0000-0000A0160000}"/>
    <cellStyle name="Nuovo 11 3 2" xfId="1360" xr:uid="{00000000-0005-0000-0000-0000A1160000}"/>
    <cellStyle name="Nuovo 11 3 2 2" xfId="4304" xr:uid="{00000000-0005-0000-0000-0000A2160000}"/>
    <cellStyle name="Nuovo 11 3 2 3" xfId="5336" xr:uid="{00000000-0005-0000-0000-0000A3160000}"/>
    <cellStyle name="Nuovo 11 3 3" xfId="1361" xr:uid="{00000000-0005-0000-0000-0000A4160000}"/>
    <cellStyle name="Nuovo 11 3 3 2" xfId="2730" xr:uid="{00000000-0005-0000-0000-0000A5160000}"/>
    <cellStyle name="Nuovo 11 3 4" xfId="2729" xr:uid="{00000000-0005-0000-0000-0000A6160000}"/>
    <cellStyle name="Nuovo 11 4" xfId="1362" xr:uid="{00000000-0005-0000-0000-0000A7160000}"/>
    <cellStyle name="Nuovo 11 4 2" xfId="1363" xr:uid="{00000000-0005-0000-0000-0000A8160000}"/>
    <cellStyle name="Nuovo 11 4 2 2" xfId="2732" xr:uid="{00000000-0005-0000-0000-0000A9160000}"/>
    <cellStyle name="Nuovo 11 4 3" xfId="2731" xr:uid="{00000000-0005-0000-0000-0000AA160000}"/>
    <cellStyle name="Nuovo 11 5" xfId="1364" xr:uid="{00000000-0005-0000-0000-0000AB160000}"/>
    <cellStyle name="Nuovo 12" xfId="316" xr:uid="{00000000-0005-0000-0000-0000AC160000}"/>
    <cellStyle name="Nuovo 12 2" xfId="552" xr:uid="{00000000-0005-0000-0000-0000AD160000}"/>
    <cellStyle name="Nuovo 12 2 2" xfId="2733" xr:uid="{00000000-0005-0000-0000-0000AE160000}"/>
    <cellStyle name="Nuovo 12 3" xfId="1365" xr:uid="{00000000-0005-0000-0000-0000AF160000}"/>
    <cellStyle name="Nuovo 12 3 2" xfId="1366" xr:uid="{00000000-0005-0000-0000-0000B0160000}"/>
    <cellStyle name="Nuovo 12 3 2 2" xfId="4305" xr:uid="{00000000-0005-0000-0000-0000B1160000}"/>
    <cellStyle name="Nuovo 12 3 2 3" xfId="5337" xr:uid="{00000000-0005-0000-0000-0000B2160000}"/>
    <cellStyle name="Nuovo 12 3 3" xfId="1367" xr:uid="{00000000-0005-0000-0000-0000B3160000}"/>
    <cellStyle name="Nuovo 12 3 3 2" xfId="2735" xr:uid="{00000000-0005-0000-0000-0000B4160000}"/>
    <cellStyle name="Nuovo 12 3 4" xfId="2734" xr:uid="{00000000-0005-0000-0000-0000B5160000}"/>
    <cellStyle name="Nuovo 12 4" xfId="1368" xr:uid="{00000000-0005-0000-0000-0000B6160000}"/>
    <cellStyle name="Nuovo 12 4 2" xfId="1369" xr:uid="{00000000-0005-0000-0000-0000B7160000}"/>
    <cellStyle name="Nuovo 12 4 2 2" xfId="2737" xr:uid="{00000000-0005-0000-0000-0000B8160000}"/>
    <cellStyle name="Nuovo 12 4 3" xfId="2736" xr:uid="{00000000-0005-0000-0000-0000B9160000}"/>
    <cellStyle name="Nuovo 12 5" xfId="1370" xr:uid="{00000000-0005-0000-0000-0000BA160000}"/>
    <cellStyle name="Nuovo 13" xfId="317" xr:uid="{00000000-0005-0000-0000-0000BB160000}"/>
    <cellStyle name="Nuovo 13 2" xfId="553" xr:uid="{00000000-0005-0000-0000-0000BC160000}"/>
    <cellStyle name="Nuovo 13 2 2" xfId="2738" xr:uid="{00000000-0005-0000-0000-0000BD160000}"/>
    <cellStyle name="Nuovo 13 3" xfId="1371" xr:uid="{00000000-0005-0000-0000-0000BE160000}"/>
    <cellStyle name="Nuovo 13 3 2" xfId="1372" xr:uid="{00000000-0005-0000-0000-0000BF160000}"/>
    <cellStyle name="Nuovo 13 3 2 2" xfId="4306" xr:uid="{00000000-0005-0000-0000-0000C0160000}"/>
    <cellStyle name="Nuovo 13 3 2 3" xfId="5338" xr:uid="{00000000-0005-0000-0000-0000C1160000}"/>
    <cellStyle name="Nuovo 13 3 3" xfId="1373" xr:uid="{00000000-0005-0000-0000-0000C2160000}"/>
    <cellStyle name="Nuovo 13 3 3 2" xfId="2740" xr:uid="{00000000-0005-0000-0000-0000C3160000}"/>
    <cellStyle name="Nuovo 13 3 4" xfId="2739" xr:uid="{00000000-0005-0000-0000-0000C4160000}"/>
    <cellStyle name="Nuovo 13 4" xfId="1374" xr:uid="{00000000-0005-0000-0000-0000C5160000}"/>
    <cellStyle name="Nuovo 13 4 2" xfId="1375" xr:uid="{00000000-0005-0000-0000-0000C6160000}"/>
    <cellStyle name="Nuovo 13 4 2 2" xfId="2742" xr:uid="{00000000-0005-0000-0000-0000C7160000}"/>
    <cellStyle name="Nuovo 13 4 3" xfId="2741" xr:uid="{00000000-0005-0000-0000-0000C8160000}"/>
    <cellStyle name="Nuovo 13 5" xfId="1376" xr:uid="{00000000-0005-0000-0000-0000C9160000}"/>
    <cellStyle name="Nuovo 14" xfId="318" xr:uid="{00000000-0005-0000-0000-0000CA160000}"/>
    <cellStyle name="Nuovo 14 2" xfId="554" xr:uid="{00000000-0005-0000-0000-0000CB160000}"/>
    <cellStyle name="Nuovo 14 2 2" xfId="2743" xr:uid="{00000000-0005-0000-0000-0000CC160000}"/>
    <cellStyle name="Nuovo 14 3" xfId="1377" xr:uid="{00000000-0005-0000-0000-0000CD160000}"/>
    <cellStyle name="Nuovo 14 3 2" xfId="1378" xr:uid="{00000000-0005-0000-0000-0000CE160000}"/>
    <cellStyle name="Nuovo 14 3 2 2" xfId="4307" xr:uid="{00000000-0005-0000-0000-0000CF160000}"/>
    <cellStyle name="Nuovo 14 3 2 3" xfId="5339" xr:uid="{00000000-0005-0000-0000-0000D0160000}"/>
    <cellStyle name="Nuovo 14 3 3" xfId="1379" xr:uid="{00000000-0005-0000-0000-0000D1160000}"/>
    <cellStyle name="Nuovo 14 3 3 2" xfId="2745" xr:uid="{00000000-0005-0000-0000-0000D2160000}"/>
    <cellStyle name="Nuovo 14 3 4" xfId="2744" xr:uid="{00000000-0005-0000-0000-0000D3160000}"/>
    <cellStyle name="Nuovo 14 4" xfId="1380" xr:uid="{00000000-0005-0000-0000-0000D4160000}"/>
    <cellStyle name="Nuovo 14 4 2" xfId="1381" xr:uid="{00000000-0005-0000-0000-0000D5160000}"/>
    <cellStyle name="Nuovo 14 4 2 2" xfId="2747" xr:uid="{00000000-0005-0000-0000-0000D6160000}"/>
    <cellStyle name="Nuovo 14 4 3" xfId="2746" xr:uid="{00000000-0005-0000-0000-0000D7160000}"/>
    <cellStyle name="Nuovo 14 5" xfId="1382" xr:uid="{00000000-0005-0000-0000-0000D8160000}"/>
    <cellStyle name="Nuovo 15" xfId="319" xr:uid="{00000000-0005-0000-0000-0000D9160000}"/>
    <cellStyle name="Nuovo 15 2" xfId="555" xr:uid="{00000000-0005-0000-0000-0000DA160000}"/>
    <cellStyle name="Nuovo 15 2 2" xfId="2748" xr:uid="{00000000-0005-0000-0000-0000DB160000}"/>
    <cellStyle name="Nuovo 15 3" xfId="1383" xr:uid="{00000000-0005-0000-0000-0000DC160000}"/>
    <cellStyle name="Nuovo 15 3 2" xfId="1384" xr:uid="{00000000-0005-0000-0000-0000DD160000}"/>
    <cellStyle name="Nuovo 15 3 2 2" xfId="4308" xr:uid="{00000000-0005-0000-0000-0000DE160000}"/>
    <cellStyle name="Nuovo 15 3 2 3" xfId="5340" xr:uid="{00000000-0005-0000-0000-0000DF160000}"/>
    <cellStyle name="Nuovo 15 3 3" xfId="1385" xr:uid="{00000000-0005-0000-0000-0000E0160000}"/>
    <cellStyle name="Nuovo 15 3 3 2" xfId="2750" xr:uid="{00000000-0005-0000-0000-0000E1160000}"/>
    <cellStyle name="Nuovo 15 3 4" xfId="2749" xr:uid="{00000000-0005-0000-0000-0000E2160000}"/>
    <cellStyle name="Nuovo 15 4" xfId="1386" xr:uid="{00000000-0005-0000-0000-0000E3160000}"/>
    <cellStyle name="Nuovo 15 4 2" xfId="1387" xr:uid="{00000000-0005-0000-0000-0000E4160000}"/>
    <cellStyle name="Nuovo 15 4 2 2" xfId="2752" xr:uid="{00000000-0005-0000-0000-0000E5160000}"/>
    <cellStyle name="Nuovo 15 4 3" xfId="2751" xr:uid="{00000000-0005-0000-0000-0000E6160000}"/>
    <cellStyle name="Nuovo 15 5" xfId="1388" xr:uid="{00000000-0005-0000-0000-0000E7160000}"/>
    <cellStyle name="Nuovo 16" xfId="320" xr:uid="{00000000-0005-0000-0000-0000E8160000}"/>
    <cellStyle name="Nuovo 16 2" xfId="556" xr:uid="{00000000-0005-0000-0000-0000E9160000}"/>
    <cellStyle name="Nuovo 16 2 2" xfId="2753" xr:uid="{00000000-0005-0000-0000-0000EA160000}"/>
    <cellStyle name="Nuovo 16 3" xfId="1389" xr:uid="{00000000-0005-0000-0000-0000EB160000}"/>
    <cellStyle name="Nuovo 16 3 2" xfId="1390" xr:uid="{00000000-0005-0000-0000-0000EC160000}"/>
    <cellStyle name="Nuovo 16 3 2 2" xfId="4309" xr:uid="{00000000-0005-0000-0000-0000ED160000}"/>
    <cellStyle name="Nuovo 16 3 2 3" xfId="5341" xr:uid="{00000000-0005-0000-0000-0000EE160000}"/>
    <cellStyle name="Nuovo 16 3 3" xfId="1391" xr:uid="{00000000-0005-0000-0000-0000EF160000}"/>
    <cellStyle name="Nuovo 16 3 3 2" xfId="2755" xr:uid="{00000000-0005-0000-0000-0000F0160000}"/>
    <cellStyle name="Nuovo 16 3 4" xfId="2754" xr:uid="{00000000-0005-0000-0000-0000F1160000}"/>
    <cellStyle name="Nuovo 16 4" xfId="1392" xr:uid="{00000000-0005-0000-0000-0000F2160000}"/>
    <cellStyle name="Nuovo 16 4 2" xfId="1393" xr:uid="{00000000-0005-0000-0000-0000F3160000}"/>
    <cellStyle name="Nuovo 16 4 2 2" xfId="2757" xr:uid="{00000000-0005-0000-0000-0000F4160000}"/>
    <cellStyle name="Nuovo 16 4 3" xfId="2756" xr:uid="{00000000-0005-0000-0000-0000F5160000}"/>
    <cellStyle name="Nuovo 16 5" xfId="1394" xr:uid="{00000000-0005-0000-0000-0000F6160000}"/>
    <cellStyle name="Nuovo 17" xfId="321" xr:uid="{00000000-0005-0000-0000-0000F7160000}"/>
    <cellStyle name="Nuovo 17 2" xfId="557" xr:uid="{00000000-0005-0000-0000-0000F8160000}"/>
    <cellStyle name="Nuovo 17 2 2" xfId="2758" xr:uid="{00000000-0005-0000-0000-0000F9160000}"/>
    <cellStyle name="Nuovo 17 3" xfId="1395" xr:uid="{00000000-0005-0000-0000-0000FA160000}"/>
    <cellStyle name="Nuovo 17 3 2" xfId="1396" xr:uid="{00000000-0005-0000-0000-0000FB160000}"/>
    <cellStyle name="Nuovo 17 3 2 2" xfId="4310" xr:uid="{00000000-0005-0000-0000-0000FC160000}"/>
    <cellStyle name="Nuovo 17 3 2 3" xfId="5342" xr:uid="{00000000-0005-0000-0000-0000FD160000}"/>
    <cellStyle name="Nuovo 17 3 3" xfId="1397" xr:uid="{00000000-0005-0000-0000-0000FE160000}"/>
    <cellStyle name="Nuovo 17 3 3 2" xfId="2760" xr:uid="{00000000-0005-0000-0000-0000FF160000}"/>
    <cellStyle name="Nuovo 17 3 4" xfId="2759" xr:uid="{00000000-0005-0000-0000-000000170000}"/>
    <cellStyle name="Nuovo 17 4" xfId="1398" xr:uid="{00000000-0005-0000-0000-000001170000}"/>
    <cellStyle name="Nuovo 17 4 2" xfId="1399" xr:uid="{00000000-0005-0000-0000-000002170000}"/>
    <cellStyle name="Nuovo 17 4 2 2" xfId="2762" xr:uid="{00000000-0005-0000-0000-000003170000}"/>
    <cellStyle name="Nuovo 17 4 3" xfId="2761" xr:uid="{00000000-0005-0000-0000-000004170000}"/>
    <cellStyle name="Nuovo 17 5" xfId="1400" xr:uid="{00000000-0005-0000-0000-000005170000}"/>
    <cellStyle name="Nuovo 18" xfId="322" xr:uid="{00000000-0005-0000-0000-000006170000}"/>
    <cellStyle name="Nuovo 18 2" xfId="558" xr:uid="{00000000-0005-0000-0000-000007170000}"/>
    <cellStyle name="Nuovo 18 2 2" xfId="2763" xr:uid="{00000000-0005-0000-0000-000008170000}"/>
    <cellStyle name="Nuovo 18 3" xfId="1401" xr:uid="{00000000-0005-0000-0000-000009170000}"/>
    <cellStyle name="Nuovo 18 3 2" xfId="1402" xr:uid="{00000000-0005-0000-0000-00000A170000}"/>
    <cellStyle name="Nuovo 18 3 2 2" xfId="4311" xr:uid="{00000000-0005-0000-0000-00000B170000}"/>
    <cellStyle name="Nuovo 18 3 2 3" xfId="5343" xr:uid="{00000000-0005-0000-0000-00000C170000}"/>
    <cellStyle name="Nuovo 18 3 3" xfId="1403" xr:uid="{00000000-0005-0000-0000-00000D170000}"/>
    <cellStyle name="Nuovo 18 3 3 2" xfId="2765" xr:uid="{00000000-0005-0000-0000-00000E170000}"/>
    <cellStyle name="Nuovo 18 3 4" xfId="2764" xr:uid="{00000000-0005-0000-0000-00000F170000}"/>
    <cellStyle name="Nuovo 18 4" xfId="1404" xr:uid="{00000000-0005-0000-0000-000010170000}"/>
    <cellStyle name="Nuovo 18 4 2" xfId="1405" xr:uid="{00000000-0005-0000-0000-000011170000}"/>
    <cellStyle name="Nuovo 18 4 2 2" xfId="2767" xr:uid="{00000000-0005-0000-0000-000012170000}"/>
    <cellStyle name="Nuovo 18 4 3" xfId="2766" xr:uid="{00000000-0005-0000-0000-000013170000}"/>
    <cellStyle name="Nuovo 18 5" xfId="1406" xr:uid="{00000000-0005-0000-0000-000014170000}"/>
    <cellStyle name="Nuovo 19" xfId="323" xr:uid="{00000000-0005-0000-0000-000015170000}"/>
    <cellStyle name="Nuovo 19 2" xfId="559" xr:uid="{00000000-0005-0000-0000-000016170000}"/>
    <cellStyle name="Nuovo 19 2 2" xfId="2768" xr:uid="{00000000-0005-0000-0000-000017170000}"/>
    <cellStyle name="Nuovo 19 3" xfId="1407" xr:uid="{00000000-0005-0000-0000-000018170000}"/>
    <cellStyle name="Nuovo 19 3 2" xfId="1408" xr:uid="{00000000-0005-0000-0000-000019170000}"/>
    <cellStyle name="Nuovo 19 3 2 2" xfId="4312" xr:uid="{00000000-0005-0000-0000-00001A170000}"/>
    <cellStyle name="Nuovo 19 3 2 3" xfId="5344" xr:uid="{00000000-0005-0000-0000-00001B170000}"/>
    <cellStyle name="Nuovo 19 3 3" xfId="1409" xr:uid="{00000000-0005-0000-0000-00001C170000}"/>
    <cellStyle name="Nuovo 19 3 3 2" xfId="2770" xr:uid="{00000000-0005-0000-0000-00001D170000}"/>
    <cellStyle name="Nuovo 19 3 4" xfId="2769" xr:uid="{00000000-0005-0000-0000-00001E170000}"/>
    <cellStyle name="Nuovo 19 4" xfId="1410" xr:uid="{00000000-0005-0000-0000-00001F170000}"/>
    <cellStyle name="Nuovo 19 4 2" xfId="1411" xr:uid="{00000000-0005-0000-0000-000020170000}"/>
    <cellStyle name="Nuovo 19 4 2 2" xfId="2772" xr:uid="{00000000-0005-0000-0000-000021170000}"/>
    <cellStyle name="Nuovo 19 4 3" xfId="2771" xr:uid="{00000000-0005-0000-0000-000022170000}"/>
    <cellStyle name="Nuovo 19 5" xfId="1412" xr:uid="{00000000-0005-0000-0000-000023170000}"/>
    <cellStyle name="Nuovo 2" xfId="324" xr:uid="{00000000-0005-0000-0000-000024170000}"/>
    <cellStyle name="Nuovo 2 2" xfId="560" xr:uid="{00000000-0005-0000-0000-000025170000}"/>
    <cellStyle name="Nuovo 2 2 2" xfId="2773" xr:uid="{00000000-0005-0000-0000-000026170000}"/>
    <cellStyle name="Nuovo 2 3" xfId="1413" xr:uid="{00000000-0005-0000-0000-000027170000}"/>
    <cellStyle name="Nuovo 2 3 2" xfId="1414" xr:uid="{00000000-0005-0000-0000-000028170000}"/>
    <cellStyle name="Nuovo 2 3 2 2" xfId="4313" xr:uid="{00000000-0005-0000-0000-000029170000}"/>
    <cellStyle name="Nuovo 2 3 2 3" xfId="5345" xr:uid="{00000000-0005-0000-0000-00002A170000}"/>
    <cellStyle name="Nuovo 2 3 3" xfId="1415" xr:uid="{00000000-0005-0000-0000-00002B170000}"/>
    <cellStyle name="Nuovo 2 3 3 2" xfId="2775" xr:uid="{00000000-0005-0000-0000-00002C170000}"/>
    <cellStyle name="Nuovo 2 3 4" xfId="2774" xr:uid="{00000000-0005-0000-0000-00002D170000}"/>
    <cellStyle name="Nuovo 2 4" xfId="1416" xr:uid="{00000000-0005-0000-0000-00002E170000}"/>
    <cellStyle name="Nuovo 2 4 2" xfId="1417" xr:uid="{00000000-0005-0000-0000-00002F170000}"/>
    <cellStyle name="Nuovo 2 4 2 2" xfId="2777" xr:uid="{00000000-0005-0000-0000-000030170000}"/>
    <cellStyle name="Nuovo 2 4 3" xfId="2776" xr:uid="{00000000-0005-0000-0000-000031170000}"/>
    <cellStyle name="Nuovo 2 5" xfId="1418" xr:uid="{00000000-0005-0000-0000-000032170000}"/>
    <cellStyle name="Nuovo 20" xfId="325" xr:uid="{00000000-0005-0000-0000-000033170000}"/>
    <cellStyle name="Nuovo 20 2" xfId="561" xr:uid="{00000000-0005-0000-0000-000034170000}"/>
    <cellStyle name="Nuovo 20 2 2" xfId="2778" xr:uid="{00000000-0005-0000-0000-000035170000}"/>
    <cellStyle name="Nuovo 20 3" xfId="1419" xr:uid="{00000000-0005-0000-0000-000036170000}"/>
    <cellStyle name="Nuovo 20 3 2" xfId="1420" xr:uid="{00000000-0005-0000-0000-000037170000}"/>
    <cellStyle name="Nuovo 20 3 2 2" xfId="4314" xr:uid="{00000000-0005-0000-0000-000038170000}"/>
    <cellStyle name="Nuovo 20 3 2 3" xfId="5346" xr:uid="{00000000-0005-0000-0000-000039170000}"/>
    <cellStyle name="Nuovo 20 3 3" xfId="1421" xr:uid="{00000000-0005-0000-0000-00003A170000}"/>
    <cellStyle name="Nuovo 20 3 3 2" xfId="2780" xr:uid="{00000000-0005-0000-0000-00003B170000}"/>
    <cellStyle name="Nuovo 20 3 4" xfId="2779" xr:uid="{00000000-0005-0000-0000-00003C170000}"/>
    <cellStyle name="Nuovo 20 4" xfId="1422" xr:uid="{00000000-0005-0000-0000-00003D170000}"/>
    <cellStyle name="Nuovo 20 4 2" xfId="1423" xr:uid="{00000000-0005-0000-0000-00003E170000}"/>
    <cellStyle name="Nuovo 20 4 2 2" xfId="2782" xr:uid="{00000000-0005-0000-0000-00003F170000}"/>
    <cellStyle name="Nuovo 20 4 3" xfId="2781" xr:uid="{00000000-0005-0000-0000-000040170000}"/>
    <cellStyle name="Nuovo 20 5" xfId="1424" xr:uid="{00000000-0005-0000-0000-000041170000}"/>
    <cellStyle name="Nuovo 21" xfId="326" xr:uid="{00000000-0005-0000-0000-000042170000}"/>
    <cellStyle name="Nuovo 21 2" xfId="562" xr:uid="{00000000-0005-0000-0000-000043170000}"/>
    <cellStyle name="Nuovo 21 2 2" xfId="2783" xr:uid="{00000000-0005-0000-0000-000044170000}"/>
    <cellStyle name="Nuovo 21 3" xfId="1425" xr:uid="{00000000-0005-0000-0000-000045170000}"/>
    <cellStyle name="Nuovo 21 3 2" xfId="1426" xr:uid="{00000000-0005-0000-0000-000046170000}"/>
    <cellStyle name="Nuovo 21 3 2 2" xfId="4315" xr:uid="{00000000-0005-0000-0000-000047170000}"/>
    <cellStyle name="Nuovo 21 3 2 3" xfId="5347" xr:uid="{00000000-0005-0000-0000-000048170000}"/>
    <cellStyle name="Nuovo 21 3 3" xfId="1427" xr:uid="{00000000-0005-0000-0000-000049170000}"/>
    <cellStyle name="Nuovo 21 3 3 2" xfId="2785" xr:uid="{00000000-0005-0000-0000-00004A170000}"/>
    <cellStyle name="Nuovo 21 3 4" xfId="2784" xr:uid="{00000000-0005-0000-0000-00004B170000}"/>
    <cellStyle name="Nuovo 21 4" xfId="1428" xr:uid="{00000000-0005-0000-0000-00004C170000}"/>
    <cellStyle name="Nuovo 21 4 2" xfId="1429" xr:uid="{00000000-0005-0000-0000-00004D170000}"/>
    <cellStyle name="Nuovo 21 4 2 2" xfId="2787" xr:uid="{00000000-0005-0000-0000-00004E170000}"/>
    <cellStyle name="Nuovo 21 4 3" xfId="2786" xr:uid="{00000000-0005-0000-0000-00004F170000}"/>
    <cellStyle name="Nuovo 21 5" xfId="1430" xr:uid="{00000000-0005-0000-0000-000050170000}"/>
    <cellStyle name="Nuovo 22" xfId="327" xr:uid="{00000000-0005-0000-0000-000051170000}"/>
    <cellStyle name="Nuovo 22 2" xfId="563" xr:uid="{00000000-0005-0000-0000-000052170000}"/>
    <cellStyle name="Nuovo 22 2 2" xfId="2788" xr:uid="{00000000-0005-0000-0000-000053170000}"/>
    <cellStyle name="Nuovo 22 3" xfId="1431" xr:uid="{00000000-0005-0000-0000-000054170000}"/>
    <cellStyle name="Nuovo 22 3 2" xfId="1432" xr:uid="{00000000-0005-0000-0000-000055170000}"/>
    <cellStyle name="Nuovo 22 3 2 2" xfId="4316" xr:uid="{00000000-0005-0000-0000-000056170000}"/>
    <cellStyle name="Nuovo 22 3 2 3" xfId="5348" xr:uid="{00000000-0005-0000-0000-000057170000}"/>
    <cellStyle name="Nuovo 22 3 3" xfId="1433" xr:uid="{00000000-0005-0000-0000-000058170000}"/>
    <cellStyle name="Nuovo 22 3 3 2" xfId="2790" xr:uid="{00000000-0005-0000-0000-000059170000}"/>
    <cellStyle name="Nuovo 22 3 4" xfId="2789" xr:uid="{00000000-0005-0000-0000-00005A170000}"/>
    <cellStyle name="Nuovo 22 4" xfId="1434" xr:uid="{00000000-0005-0000-0000-00005B170000}"/>
    <cellStyle name="Nuovo 22 4 2" xfId="1435" xr:uid="{00000000-0005-0000-0000-00005C170000}"/>
    <cellStyle name="Nuovo 22 4 2 2" xfId="2792" xr:uid="{00000000-0005-0000-0000-00005D170000}"/>
    <cellStyle name="Nuovo 22 4 3" xfId="2791" xr:uid="{00000000-0005-0000-0000-00005E170000}"/>
    <cellStyle name="Nuovo 22 5" xfId="1436" xr:uid="{00000000-0005-0000-0000-00005F170000}"/>
    <cellStyle name="Nuovo 23" xfId="328" xr:uid="{00000000-0005-0000-0000-000060170000}"/>
    <cellStyle name="Nuovo 23 2" xfId="564" xr:uid="{00000000-0005-0000-0000-000061170000}"/>
    <cellStyle name="Nuovo 23 2 2" xfId="2793" xr:uid="{00000000-0005-0000-0000-000062170000}"/>
    <cellStyle name="Nuovo 23 3" xfId="1437" xr:uid="{00000000-0005-0000-0000-000063170000}"/>
    <cellStyle name="Nuovo 23 3 2" xfId="1438" xr:uid="{00000000-0005-0000-0000-000064170000}"/>
    <cellStyle name="Nuovo 23 3 2 2" xfId="4317" xr:uid="{00000000-0005-0000-0000-000065170000}"/>
    <cellStyle name="Nuovo 23 3 2 3" xfId="5349" xr:uid="{00000000-0005-0000-0000-000066170000}"/>
    <cellStyle name="Nuovo 23 3 3" xfId="1439" xr:uid="{00000000-0005-0000-0000-000067170000}"/>
    <cellStyle name="Nuovo 23 3 3 2" xfId="2795" xr:uid="{00000000-0005-0000-0000-000068170000}"/>
    <cellStyle name="Nuovo 23 3 4" xfId="2794" xr:uid="{00000000-0005-0000-0000-000069170000}"/>
    <cellStyle name="Nuovo 23 4" xfId="1440" xr:uid="{00000000-0005-0000-0000-00006A170000}"/>
    <cellStyle name="Nuovo 23 4 2" xfId="1441" xr:uid="{00000000-0005-0000-0000-00006B170000}"/>
    <cellStyle name="Nuovo 23 4 2 2" xfId="2797" xr:uid="{00000000-0005-0000-0000-00006C170000}"/>
    <cellStyle name="Nuovo 23 4 3" xfId="2796" xr:uid="{00000000-0005-0000-0000-00006D170000}"/>
    <cellStyle name="Nuovo 23 5" xfId="1442" xr:uid="{00000000-0005-0000-0000-00006E170000}"/>
    <cellStyle name="Nuovo 24" xfId="329" xr:uid="{00000000-0005-0000-0000-00006F170000}"/>
    <cellStyle name="Nuovo 24 2" xfId="565" xr:uid="{00000000-0005-0000-0000-000070170000}"/>
    <cellStyle name="Nuovo 24 2 2" xfId="2798" xr:uid="{00000000-0005-0000-0000-000071170000}"/>
    <cellStyle name="Nuovo 24 3" xfId="1443" xr:uid="{00000000-0005-0000-0000-000072170000}"/>
    <cellStyle name="Nuovo 24 3 2" xfId="1444" xr:uid="{00000000-0005-0000-0000-000073170000}"/>
    <cellStyle name="Nuovo 24 3 2 2" xfId="4318" xr:uid="{00000000-0005-0000-0000-000074170000}"/>
    <cellStyle name="Nuovo 24 3 2 3" xfId="5350" xr:uid="{00000000-0005-0000-0000-000075170000}"/>
    <cellStyle name="Nuovo 24 3 3" xfId="1445" xr:uid="{00000000-0005-0000-0000-000076170000}"/>
    <cellStyle name="Nuovo 24 3 3 2" xfId="2800" xr:uid="{00000000-0005-0000-0000-000077170000}"/>
    <cellStyle name="Nuovo 24 3 4" xfId="2799" xr:uid="{00000000-0005-0000-0000-000078170000}"/>
    <cellStyle name="Nuovo 24 4" xfId="1446" xr:uid="{00000000-0005-0000-0000-000079170000}"/>
    <cellStyle name="Nuovo 24 4 2" xfId="1447" xr:uid="{00000000-0005-0000-0000-00007A170000}"/>
    <cellStyle name="Nuovo 24 4 2 2" xfId="2802" xr:uid="{00000000-0005-0000-0000-00007B170000}"/>
    <cellStyle name="Nuovo 24 4 3" xfId="2801" xr:uid="{00000000-0005-0000-0000-00007C170000}"/>
    <cellStyle name="Nuovo 24 5" xfId="1448" xr:uid="{00000000-0005-0000-0000-00007D170000}"/>
    <cellStyle name="Nuovo 25" xfId="330" xr:uid="{00000000-0005-0000-0000-00007E170000}"/>
    <cellStyle name="Nuovo 25 2" xfId="566" xr:uid="{00000000-0005-0000-0000-00007F170000}"/>
    <cellStyle name="Nuovo 25 2 2" xfId="2803" xr:uid="{00000000-0005-0000-0000-000080170000}"/>
    <cellStyle name="Nuovo 25 3" xfId="1449" xr:uid="{00000000-0005-0000-0000-000081170000}"/>
    <cellStyle name="Nuovo 25 3 2" xfId="1450" xr:uid="{00000000-0005-0000-0000-000082170000}"/>
    <cellStyle name="Nuovo 25 3 2 2" xfId="4319" xr:uid="{00000000-0005-0000-0000-000083170000}"/>
    <cellStyle name="Nuovo 25 3 2 3" xfId="5351" xr:uid="{00000000-0005-0000-0000-000084170000}"/>
    <cellStyle name="Nuovo 25 3 3" xfId="1451" xr:uid="{00000000-0005-0000-0000-000085170000}"/>
    <cellStyle name="Nuovo 25 3 3 2" xfId="2805" xr:uid="{00000000-0005-0000-0000-000086170000}"/>
    <cellStyle name="Nuovo 25 3 4" xfId="2804" xr:uid="{00000000-0005-0000-0000-000087170000}"/>
    <cellStyle name="Nuovo 25 4" xfId="1452" xr:uid="{00000000-0005-0000-0000-000088170000}"/>
    <cellStyle name="Nuovo 25 4 2" xfId="1453" xr:uid="{00000000-0005-0000-0000-000089170000}"/>
    <cellStyle name="Nuovo 25 4 2 2" xfId="2807" xr:uid="{00000000-0005-0000-0000-00008A170000}"/>
    <cellStyle name="Nuovo 25 4 3" xfId="2806" xr:uid="{00000000-0005-0000-0000-00008B170000}"/>
    <cellStyle name="Nuovo 25 5" xfId="1454" xr:uid="{00000000-0005-0000-0000-00008C170000}"/>
    <cellStyle name="Nuovo 26" xfId="331" xr:uid="{00000000-0005-0000-0000-00008D170000}"/>
    <cellStyle name="Nuovo 26 2" xfId="567" xr:uid="{00000000-0005-0000-0000-00008E170000}"/>
    <cellStyle name="Nuovo 26 2 2" xfId="2808" xr:uid="{00000000-0005-0000-0000-00008F170000}"/>
    <cellStyle name="Nuovo 26 3" xfId="1455" xr:uid="{00000000-0005-0000-0000-000090170000}"/>
    <cellStyle name="Nuovo 26 3 2" xfId="1456" xr:uid="{00000000-0005-0000-0000-000091170000}"/>
    <cellStyle name="Nuovo 26 3 2 2" xfId="4320" xr:uid="{00000000-0005-0000-0000-000092170000}"/>
    <cellStyle name="Nuovo 26 3 2 3" xfId="5352" xr:uid="{00000000-0005-0000-0000-000093170000}"/>
    <cellStyle name="Nuovo 26 3 3" xfId="1457" xr:uid="{00000000-0005-0000-0000-000094170000}"/>
    <cellStyle name="Nuovo 26 3 3 2" xfId="2810" xr:uid="{00000000-0005-0000-0000-000095170000}"/>
    <cellStyle name="Nuovo 26 3 4" xfId="2809" xr:uid="{00000000-0005-0000-0000-000096170000}"/>
    <cellStyle name="Nuovo 26 4" xfId="1458" xr:uid="{00000000-0005-0000-0000-000097170000}"/>
    <cellStyle name="Nuovo 26 4 2" xfId="1459" xr:uid="{00000000-0005-0000-0000-000098170000}"/>
    <cellStyle name="Nuovo 26 4 2 2" xfId="2812" xr:uid="{00000000-0005-0000-0000-000099170000}"/>
    <cellStyle name="Nuovo 26 4 3" xfId="2811" xr:uid="{00000000-0005-0000-0000-00009A170000}"/>
    <cellStyle name="Nuovo 26 5" xfId="1460" xr:uid="{00000000-0005-0000-0000-00009B170000}"/>
    <cellStyle name="Nuovo 27" xfId="332" xr:uid="{00000000-0005-0000-0000-00009C170000}"/>
    <cellStyle name="Nuovo 27 2" xfId="568" xr:uid="{00000000-0005-0000-0000-00009D170000}"/>
    <cellStyle name="Nuovo 27 2 2" xfId="2813" xr:uid="{00000000-0005-0000-0000-00009E170000}"/>
    <cellStyle name="Nuovo 27 3" xfId="1461" xr:uid="{00000000-0005-0000-0000-00009F170000}"/>
    <cellStyle name="Nuovo 27 3 2" xfId="1462" xr:uid="{00000000-0005-0000-0000-0000A0170000}"/>
    <cellStyle name="Nuovo 27 3 2 2" xfId="4321" xr:uid="{00000000-0005-0000-0000-0000A1170000}"/>
    <cellStyle name="Nuovo 27 3 2 3" xfId="5353" xr:uid="{00000000-0005-0000-0000-0000A2170000}"/>
    <cellStyle name="Nuovo 27 3 3" xfId="1463" xr:uid="{00000000-0005-0000-0000-0000A3170000}"/>
    <cellStyle name="Nuovo 27 3 3 2" xfId="2815" xr:uid="{00000000-0005-0000-0000-0000A4170000}"/>
    <cellStyle name="Nuovo 27 3 4" xfId="2814" xr:uid="{00000000-0005-0000-0000-0000A5170000}"/>
    <cellStyle name="Nuovo 27 4" xfId="1464" xr:uid="{00000000-0005-0000-0000-0000A6170000}"/>
    <cellStyle name="Nuovo 27 4 2" xfId="1465" xr:uid="{00000000-0005-0000-0000-0000A7170000}"/>
    <cellStyle name="Nuovo 27 4 2 2" xfId="2817" xr:uid="{00000000-0005-0000-0000-0000A8170000}"/>
    <cellStyle name="Nuovo 27 4 3" xfId="2816" xr:uid="{00000000-0005-0000-0000-0000A9170000}"/>
    <cellStyle name="Nuovo 27 5" xfId="1466" xr:uid="{00000000-0005-0000-0000-0000AA170000}"/>
    <cellStyle name="Nuovo 28" xfId="333" xr:uid="{00000000-0005-0000-0000-0000AB170000}"/>
    <cellStyle name="Nuovo 28 2" xfId="569" xr:uid="{00000000-0005-0000-0000-0000AC170000}"/>
    <cellStyle name="Nuovo 28 2 2" xfId="2818" xr:uid="{00000000-0005-0000-0000-0000AD170000}"/>
    <cellStyle name="Nuovo 28 3" xfId="1467" xr:uid="{00000000-0005-0000-0000-0000AE170000}"/>
    <cellStyle name="Nuovo 28 3 2" xfId="1468" xr:uid="{00000000-0005-0000-0000-0000AF170000}"/>
    <cellStyle name="Nuovo 28 3 2 2" xfId="4322" xr:uid="{00000000-0005-0000-0000-0000B0170000}"/>
    <cellStyle name="Nuovo 28 3 2 3" xfId="5354" xr:uid="{00000000-0005-0000-0000-0000B1170000}"/>
    <cellStyle name="Nuovo 28 3 3" xfId="1469" xr:uid="{00000000-0005-0000-0000-0000B2170000}"/>
    <cellStyle name="Nuovo 28 3 3 2" xfId="2820" xr:uid="{00000000-0005-0000-0000-0000B3170000}"/>
    <cellStyle name="Nuovo 28 3 4" xfId="2819" xr:uid="{00000000-0005-0000-0000-0000B4170000}"/>
    <cellStyle name="Nuovo 28 4" xfId="1470" xr:uid="{00000000-0005-0000-0000-0000B5170000}"/>
    <cellStyle name="Nuovo 28 4 2" xfId="1471" xr:uid="{00000000-0005-0000-0000-0000B6170000}"/>
    <cellStyle name="Nuovo 28 4 2 2" xfId="2822" xr:uid="{00000000-0005-0000-0000-0000B7170000}"/>
    <cellStyle name="Nuovo 28 4 3" xfId="2821" xr:uid="{00000000-0005-0000-0000-0000B8170000}"/>
    <cellStyle name="Nuovo 28 5" xfId="1472" xr:uid="{00000000-0005-0000-0000-0000B9170000}"/>
    <cellStyle name="Nuovo 29" xfId="334" xr:uid="{00000000-0005-0000-0000-0000BA170000}"/>
    <cellStyle name="Nuovo 29 2" xfId="570" xr:uid="{00000000-0005-0000-0000-0000BB170000}"/>
    <cellStyle name="Nuovo 29 2 2" xfId="2823" xr:uid="{00000000-0005-0000-0000-0000BC170000}"/>
    <cellStyle name="Nuovo 29 3" xfId="1473" xr:uid="{00000000-0005-0000-0000-0000BD170000}"/>
    <cellStyle name="Nuovo 29 3 2" xfId="1474" xr:uid="{00000000-0005-0000-0000-0000BE170000}"/>
    <cellStyle name="Nuovo 29 3 2 2" xfId="4323" xr:uid="{00000000-0005-0000-0000-0000BF170000}"/>
    <cellStyle name="Nuovo 29 3 2 3" xfId="5355" xr:uid="{00000000-0005-0000-0000-0000C0170000}"/>
    <cellStyle name="Nuovo 29 3 3" xfId="1475" xr:uid="{00000000-0005-0000-0000-0000C1170000}"/>
    <cellStyle name="Nuovo 29 3 3 2" xfId="2825" xr:uid="{00000000-0005-0000-0000-0000C2170000}"/>
    <cellStyle name="Nuovo 29 3 4" xfId="2824" xr:uid="{00000000-0005-0000-0000-0000C3170000}"/>
    <cellStyle name="Nuovo 29 4" xfId="1476" xr:uid="{00000000-0005-0000-0000-0000C4170000}"/>
    <cellStyle name="Nuovo 29 4 2" xfId="1477" xr:uid="{00000000-0005-0000-0000-0000C5170000}"/>
    <cellStyle name="Nuovo 29 4 2 2" xfId="2827" xr:uid="{00000000-0005-0000-0000-0000C6170000}"/>
    <cellStyle name="Nuovo 29 4 3" xfId="2826" xr:uid="{00000000-0005-0000-0000-0000C7170000}"/>
    <cellStyle name="Nuovo 29 5" xfId="1478" xr:uid="{00000000-0005-0000-0000-0000C8170000}"/>
    <cellStyle name="Nuovo 3" xfId="335" xr:uid="{00000000-0005-0000-0000-0000C9170000}"/>
    <cellStyle name="Nuovo 3 2" xfId="571" xr:uid="{00000000-0005-0000-0000-0000CA170000}"/>
    <cellStyle name="Nuovo 3 2 2" xfId="2828" xr:uid="{00000000-0005-0000-0000-0000CB170000}"/>
    <cellStyle name="Nuovo 3 3" xfId="1479" xr:uid="{00000000-0005-0000-0000-0000CC170000}"/>
    <cellStyle name="Nuovo 3 3 2" xfId="1480" xr:uid="{00000000-0005-0000-0000-0000CD170000}"/>
    <cellStyle name="Nuovo 3 3 2 2" xfId="4324" xr:uid="{00000000-0005-0000-0000-0000CE170000}"/>
    <cellStyle name="Nuovo 3 3 2 3" xfId="5356" xr:uid="{00000000-0005-0000-0000-0000CF170000}"/>
    <cellStyle name="Nuovo 3 3 3" xfId="1481" xr:uid="{00000000-0005-0000-0000-0000D0170000}"/>
    <cellStyle name="Nuovo 3 3 3 2" xfId="2830" xr:uid="{00000000-0005-0000-0000-0000D1170000}"/>
    <cellStyle name="Nuovo 3 3 4" xfId="2829" xr:uid="{00000000-0005-0000-0000-0000D2170000}"/>
    <cellStyle name="Nuovo 3 4" xfId="1482" xr:uid="{00000000-0005-0000-0000-0000D3170000}"/>
    <cellStyle name="Nuovo 3 4 2" xfId="1483" xr:uid="{00000000-0005-0000-0000-0000D4170000}"/>
    <cellStyle name="Nuovo 3 4 2 2" xfId="2832" xr:uid="{00000000-0005-0000-0000-0000D5170000}"/>
    <cellStyle name="Nuovo 3 4 3" xfId="2831" xr:uid="{00000000-0005-0000-0000-0000D6170000}"/>
    <cellStyle name="Nuovo 3 5" xfId="1484" xr:uid="{00000000-0005-0000-0000-0000D7170000}"/>
    <cellStyle name="Nuovo 30" xfId="336" xr:uid="{00000000-0005-0000-0000-0000D8170000}"/>
    <cellStyle name="Nuovo 30 2" xfId="572" xr:uid="{00000000-0005-0000-0000-0000D9170000}"/>
    <cellStyle name="Nuovo 30 2 2" xfId="2833" xr:uid="{00000000-0005-0000-0000-0000DA170000}"/>
    <cellStyle name="Nuovo 30 3" xfId="1485" xr:uid="{00000000-0005-0000-0000-0000DB170000}"/>
    <cellStyle name="Nuovo 30 3 2" xfId="1486" xr:uid="{00000000-0005-0000-0000-0000DC170000}"/>
    <cellStyle name="Nuovo 30 3 2 2" xfId="4325" xr:uid="{00000000-0005-0000-0000-0000DD170000}"/>
    <cellStyle name="Nuovo 30 3 2 3" xfId="5357" xr:uid="{00000000-0005-0000-0000-0000DE170000}"/>
    <cellStyle name="Nuovo 30 3 3" xfId="1487" xr:uid="{00000000-0005-0000-0000-0000DF170000}"/>
    <cellStyle name="Nuovo 30 3 3 2" xfId="2835" xr:uid="{00000000-0005-0000-0000-0000E0170000}"/>
    <cellStyle name="Nuovo 30 3 4" xfId="2834" xr:uid="{00000000-0005-0000-0000-0000E1170000}"/>
    <cellStyle name="Nuovo 30 4" xfId="1488" xr:uid="{00000000-0005-0000-0000-0000E2170000}"/>
    <cellStyle name="Nuovo 30 4 2" xfId="1489" xr:uid="{00000000-0005-0000-0000-0000E3170000}"/>
    <cellStyle name="Nuovo 30 4 2 2" xfId="2837" xr:uid="{00000000-0005-0000-0000-0000E4170000}"/>
    <cellStyle name="Nuovo 30 4 3" xfId="2836" xr:uid="{00000000-0005-0000-0000-0000E5170000}"/>
    <cellStyle name="Nuovo 30 5" xfId="1490" xr:uid="{00000000-0005-0000-0000-0000E6170000}"/>
    <cellStyle name="Nuovo 31" xfId="337" xr:uid="{00000000-0005-0000-0000-0000E7170000}"/>
    <cellStyle name="Nuovo 31 2" xfId="573" xr:uid="{00000000-0005-0000-0000-0000E8170000}"/>
    <cellStyle name="Nuovo 31 2 2" xfId="2838" xr:uid="{00000000-0005-0000-0000-0000E9170000}"/>
    <cellStyle name="Nuovo 31 3" xfId="1491" xr:uid="{00000000-0005-0000-0000-0000EA170000}"/>
    <cellStyle name="Nuovo 31 3 2" xfId="1492" xr:uid="{00000000-0005-0000-0000-0000EB170000}"/>
    <cellStyle name="Nuovo 31 3 2 2" xfId="4326" xr:uid="{00000000-0005-0000-0000-0000EC170000}"/>
    <cellStyle name="Nuovo 31 3 2 3" xfId="5358" xr:uid="{00000000-0005-0000-0000-0000ED170000}"/>
    <cellStyle name="Nuovo 31 3 3" xfId="1493" xr:uid="{00000000-0005-0000-0000-0000EE170000}"/>
    <cellStyle name="Nuovo 31 3 3 2" xfId="2840" xr:uid="{00000000-0005-0000-0000-0000EF170000}"/>
    <cellStyle name="Nuovo 31 3 4" xfId="2839" xr:uid="{00000000-0005-0000-0000-0000F0170000}"/>
    <cellStyle name="Nuovo 31 4" xfId="1494" xr:uid="{00000000-0005-0000-0000-0000F1170000}"/>
    <cellStyle name="Nuovo 31 4 2" xfId="1495" xr:uid="{00000000-0005-0000-0000-0000F2170000}"/>
    <cellStyle name="Nuovo 31 4 2 2" xfId="2842" xr:uid="{00000000-0005-0000-0000-0000F3170000}"/>
    <cellStyle name="Nuovo 31 4 3" xfId="2841" xr:uid="{00000000-0005-0000-0000-0000F4170000}"/>
    <cellStyle name="Nuovo 31 5" xfId="1496" xr:uid="{00000000-0005-0000-0000-0000F5170000}"/>
    <cellStyle name="Nuovo 32" xfId="338" xr:uid="{00000000-0005-0000-0000-0000F6170000}"/>
    <cellStyle name="Nuovo 32 2" xfId="574" xr:uid="{00000000-0005-0000-0000-0000F7170000}"/>
    <cellStyle name="Nuovo 32 2 2" xfId="2843" xr:uid="{00000000-0005-0000-0000-0000F8170000}"/>
    <cellStyle name="Nuovo 32 3" xfId="1497" xr:uid="{00000000-0005-0000-0000-0000F9170000}"/>
    <cellStyle name="Nuovo 32 3 2" xfId="1498" xr:uid="{00000000-0005-0000-0000-0000FA170000}"/>
    <cellStyle name="Nuovo 32 3 2 2" xfId="4327" xr:uid="{00000000-0005-0000-0000-0000FB170000}"/>
    <cellStyle name="Nuovo 32 3 2 3" xfId="5359" xr:uid="{00000000-0005-0000-0000-0000FC170000}"/>
    <cellStyle name="Nuovo 32 3 3" xfId="1499" xr:uid="{00000000-0005-0000-0000-0000FD170000}"/>
    <cellStyle name="Nuovo 32 3 3 2" xfId="2845" xr:uid="{00000000-0005-0000-0000-0000FE170000}"/>
    <cellStyle name="Nuovo 32 3 4" xfId="2844" xr:uid="{00000000-0005-0000-0000-0000FF170000}"/>
    <cellStyle name="Nuovo 32 4" xfId="1500" xr:uid="{00000000-0005-0000-0000-000000180000}"/>
    <cellStyle name="Nuovo 32 4 2" xfId="1501" xr:uid="{00000000-0005-0000-0000-000001180000}"/>
    <cellStyle name="Nuovo 32 4 2 2" xfId="2847" xr:uid="{00000000-0005-0000-0000-000002180000}"/>
    <cellStyle name="Nuovo 32 4 3" xfId="2846" xr:uid="{00000000-0005-0000-0000-000003180000}"/>
    <cellStyle name="Nuovo 32 5" xfId="1502" xr:uid="{00000000-0005-0000-0000-000004180000}"/>
    <cellStyle name="Nuovo 33" xfId="339" xr:uid="{00000000-0005-0000-0000-000005180000}"/>
    <cellStyle name="Nuovo 33 2" xfId="575" xr:uid="{00000000-0005-0000-0000-000006180000}"/>
    <cellStyle name="Nuovo 33 2 2" xfId="2848" xr:uid="{00000000-0005-0000-0000-000007180000}"/>
    <cellStyle name="Nuovo 33 3" xfId="1503" xr:uid="{00000000-0005-0000-0000-000008180000}"/>
    <cellStyle name="Nuovo 33 3 2" xfId="1504" xr:uid="{00000000-0005-0000-0000-000009180000}"/>
    <cellStyle name="Nuovo 33 3 2 2" xfId="4328" xr:uid="{00000000-0005-0000-0000-00000A180000}"/>
    <cellStyle name="Nuovo 33 3 2 3" xfId="5360" xr:uid="{00000000-0005-0000-0000-00000B180000}"/>
    <cellStyle name="Nuovo 33 3 3" xfId="1505" xr:uid="{00000000-0005-0000-0000-00000C180000}"/>
    <cellStyle name="Nuovo 33 3 3 2" xfId="2850" xr:uid="{00000000-0005-0000-0000-00000D180000}"/>
    <cellStyle name="Nuovo 33 3 4" xfId="2849" xr:uid="{00000000-0005-0000-0000-00000E180000}"/>
    <cellStyle name="Nuovo 33 4" xfId="1506" xr:uid="{00000000-0005-0000-0000-00000F180000}"/>
    <cellStyle name="Nuovo 33 4 2" xfId="1507" xr:uid="{00000000-0005-0000-0000-000010180000}"/>
    <cellStyle name="Nuovo 33 4 2 2" xfId="2852" xr:uid="{00000000-0005-0000-0000-000011180000}"/>
    <cellStyle name="Nuovo 33 4 3" xfId="2851" xr:uid="{00000000-0005-0000-0000-000012180000}"/>
    <cellStyle name="Nuovo 33 5" xfId="1508" xr:uid="{00000000-0005-0000-0000-000013180000}"/>
    <cellStyle name="Nuovo 34" xfId="340" xr:uid="{00000000-0005-0000-0000-000014180000}"/>
    <cellStyle name="Nuovo 34 2" xfId="576" xr:uid="{00000000-0005-0000-0000-000015180000}"/>
    <cellStyle name="Nuovo 34 2 2" xfId="2853" xr:uid="{00000000-0005-0000-0000-000016180000}"/>
    <cellStyle name="Nuovo 34 3" xfId="1509" xr:uid="{00000000-0005-0000-0000-000017180000}"/>
    <cellStyle name="Nuovo 34 3 2" xfId="1510" xr:uid="{00000000-0005-0000-0000-000018180000}"/>
    <cellStyle name="Nuovo 34 3 2 2" xfId="4329" xr:uid="{00000000-0005-0000-0000-000019180000}"/>
    <cellStyle name="Nuovo 34 3 2 3" xfId="5361" xr:uid="{00000000-0005-0000-0000-00001A180000}"/>
    <cellStyle name="Nuovo 34 3 3" xfId="1511" xr:uid="{00000000-0005-0000-0000-00001B180000}"/>
    <cellStyle name="Nuovo 34 3 3 2" xfId="2855" xr:uid="{00000000-0005-0000-0000-00001C180000}"/>
    <cellStyle name="Nuovo 34 3 4" xfId="2854" xr:uid="{00000000-0005-0000-0000-00001D180000}"/>
    <cellStyle name="Nuovo 34 4" xfId="1512" xr:uid="{00000000-0005-0000-0000-00001E180000}"/>
    <cellStyle name="Nuovo 34 4 2" xfId="1513" xr:uid="{00000000-0005-0000-0000-00001F180000}"/>
    <cellStyle name="Nuovo 34 4 2 2" xfId="2857" xr:uid="{00000000-0005-0000-0000-000020180000}"/>
    <cellStyle name="Nuovo 34 4 3" xfId="2856" xr:uid="{00000000-0005-0000-0000-000021180000}"/>
    <cellStyle name="Nuovo 34 5" xfId="1514" xr:uid="{00000000-0005-0000-0000-000022180000}"/>
    <cellStyle name="Nuovo 35" xfId="341" xr:uid="{00000000-0005-0000-0000-000023180000}"/>
    <cellStyle name="Nuovo 35 2" xfId="577" xr:uid="{00000000-0005-0000-0000-000024180000}"/>
    <cellStyle name="Nuovo 35 2 2" xfId="2858" xr:uid="{00000000-0005-0000-0000-000025180000}"/>
    <cellStyle name="Nuovo 35 3" xfId="1515" xr:uid="{00000000-0005-0000-0000-000026180000}"/>
    <cellStyle name="Nuovo 35 3 2" xfId="1516" xr:uid="{00000000-0005-0000-0000-000027180000}"/>
    <cellStyle name="Nuovo 35 3 2 2" xfId="4330" xr:uid="{00000000-0005-0000-0000-000028180000}"/>
    <cellStyle name="Nuovo 35 3 2 3" xfId="5362" xr:uid="{00000000-0005-0000-0000-000029180000}"/>
    <cellStyle name="Nuovo 35 3 3" xfId="1517" xr:uid="{00000000-0005-0000-0000-00002A180000}"/>
    <cellStyle name="Nuovo 35 3 3 2" xfId="2860" xr:uid="{00000000-0005-0000-0000-00002B180000}"/>
    <cellStyle name="Nuovo 35 3 4" xfId="2859" xr:uid="{00000000-0005-0000-0000-00002C180000}"/>
    <cellStyle name="Nuovo 35 4" xfId="1518" xr:uid="{00000000-0005-0000-0000-00002D180000}"/>
    <cellStyle name="Nuovo 35 4 2" xfId="1519" xr:uid="{00000000-0005-0000-0000-00002E180000}"/>
    <cellStyle name="Nuovo 35 4 2 2" xfId="2862" xr:uid="{00000000-0005-0000-0000-00002F180000}"/>
    <cellStyle name="Nuovo 35 4 3" xfId="2861" xr:uid="{00000000-0005-0000-0000-000030180000}"/>
    <cellStyle name="Nuovo 35 5" xfId="1520" xr:uid="{00000000-0005-0000-0000-000031180000}"/>
    <cellStyle name="Nuovo 36" xfId="342" xr:uid="{00000000-0005-0000-0000-000032180000}"/>
    <cellStyle name="Nuovo 36 2" xfId="578" xr:uid="{00000000-0005-0000-0000-000033180000}"/>
    <cellStyle name="Nuovo 36 2 2" xfId="2863" xr:uid="{00000000-0005-0000-0000-000034180000}"/>
    <cellStyle name="Nuovo 36 3" xfId="1521" xr:uid="{00000000-0005-0000-0000-000035180000}"/>
    <cellStyle name="Nuovo 36 3 2" xfId="1522" xr:uid="{00000000-0005-0000-0000-000036180000}"/>
    <cellStyle name="Nuovo 36 3 2 2" xfId="4331" xr:uid="{00000000-0005-0000-0000-000037180000}"/>
    <cellStyle name="Nuovo 36 3 2 3" xfId="5363" xr:uid="{00000000-0005-0000-0000-000038180000}"/>
    <cellStyle name="Nuovo 36 3 3" xfId="1523" xr:uid="{00000000-0005-0000-0000-000039180000}"/>
    <cellStyle name="Nuovo 36 3 3 2" xfId="2865" xr:uid="{00000000-0005-0000-0000-00003A180000}"/>
    <cellStyle name="Nuovo 36 3 4" xfId="2864" xr:uid="{00000000-0005-0000-0000-00003B180000}"/>
    <cellStyle name="Nuovo 36 4" xfId="1524" xr:uid="{00000000-0005-0000-0000-00003C180000}"/>
    <cellStyle name="Nuovo 36 4 2" xfId="1525" xr:uid="{00000000-0005-0000-0000-00003D180000}"/>
    <cellStyle name="Nuovo 36 4 2 2" xfId="2867" xr:uid="{00000000-0005-0000-0000-00003E180000}"/>
    <cellStyle name="Nuovo 36 4 3" xfId="2866" xr:uid="{00000000-0005-0000-0000-00003F180000}"/>
    <cellStyle name="Nuovo 36 5" xfId="1526" xr:uid="{00000000-0005-0000-0000-000040180000}"/>
    <cellStyle name="Nuovo 37" xfId="343" xr:uid="{00000000-0005-0000-0000-000041180000}"/>
    <cellStyle name="Nuovo 37 2" xfId="579" xr:uid="{00000000-0005-0000-0000-000042180000}"/>
    <cellStyle name="Nuovo 37 2 2" xfId="2868" xr:uid="{00000000-0005-0000-0000-000043180000}"/>
    <cellStyle name="Nuovo 37 3" xfId="1527" xr:uid="{00000000-0005-0000-0000-000044180000}"/>
    <cellStyle name="Nuovo 37 3 2" xfId="1528" xr:uid="{00000000-0005-0000-0000-000045180000}"/>
    <cellStyle name="Nuovo 37 3 2 2" xfId="4332" xr:uid="{00000000-0005-0000-0000-000046180000}"/>
    <cellStyle name="Nuovo 37 3 2 3" xfId="5364" xr:uid="{00000000-0005-0000-0000-000047180000}"/>
    <cellStyle name="Nuovo 37 3 3" xfId="1529" xr:uid="{00000000-0005-0000-0000-000048180000}"/>
    <cellStyle name="Nuovo 37 3 3 2" xfId="2870" xr:uid="{00000000-0005-0000-0000-000049180000}"/>
    <cellStyle name="Nuovo 37 3 4" xfId="2869" xr:uid="{00000000-0005-0000-0000-00004A180000}"/>
    <cellStyle name="Nuovo 37 4" xfId="1530" xr:uid="{00000000-0005-0000-0000-00004B180000}"/>
    <cellStyle name="Nuovo 37 4 2" xfId="1531" xr:uid="{00000000-0005-0000-0000-00004C180000}"/>
    <cellStyle name="Nuovo 37 4 2 2" xfId="2872" xr:uid="{00000000-0005-0000-0000-00004D180000}"/>
    <cellStyle name="Nuovo 37 4 3" xfId="2871" xr:uid="{00000000-0005-0000-0000-00004E180000}"/>
    <cellStyle name="Nuovo 37 5" xfId="1532" xr:uid="{00000000-0005-0000-0000-00004F180000}"/>
    <cellStyle name="Nuovo 38" xfId="344" xr:uid="{00000000-0005-0000-0000-000050180000}"/>
    <cellStyle name="Nuovo 38 2" xfId="580" xr:uid="{00000000-0005-0000-0000-000051180000}"/>
    <cellStyle name="Nuovo 38 2 2" xfId="2873" xr:uid="{00000000-0005-0000-0000-000052180000}"/>
    <cellStyle name="Nuovo 38 3" xfId="1533" xr:uid="{00000000-0005-0000-0000-000053180000}"/>
    <cellStyle name="Nuovo 38 3 2" xfId="1534" xr:uid="{00000000-0005-0000-0000-000054180000}"/>
    <cellStyle name="Nuovo 38 3 2 2" xfId="4333" xr:uid="{00000000-0005-0000-0000-000055180000}"/>
    <cellStyle name="Nuovo 38 3 2 3" xfId="5365" xr:uid="{00000000-0005-0000-0000-000056180000}"/>
    <cellStyle name="Nuovo 38 3 3" xfId="1535" xr:uid="{00000000-0005-0000-0000-000057180000}"/>
    <cellStyle name="Nuovo 38 3 3 2" xfId="2875" xr:uid="{00000000-0005-0000-0000-000058180000}"/>
    <cellStyle name="Nuovo 38 3 4" xfId="2874" xr:uid="{00000000-0005-0000-0000-000059180000}"/>
    <cellStyle name="Nuovo 38 4" xfId="1536" xr:uid="{00000000-0005-0000-0000-00005A180000}"/>
    <cellStyle name="Nuovo 38 4 2" xfId="1537" xr:uid="{00000000-0005-0000-0000-00005B180000}"/>
    <cellStyle name="Nuovo 38 4 2 2" xfId="2877" xr:uid="{00000000-0005-0000-0000-00005C180000}"/>
    <cellStyle name="Nuovo 38 4 3" xfId="2876" xr:uid="{00000000-0005-0000-0000-00005D180000}"/>
    <cellStyle name="Nuovo 38 5" xfId="1538" xr:uid="{00000000-0005-0000-0000-00005E180000}"/>
    <cellStyle name="Nuovo 39" xfId="345" xr:uid="{00000000-0005-0000-0000-00005F180000}"/>
    <cellStyle name="Nuovo 39 2" xfId="581" xr:uid="{00000000-0005-0000-0000-000060180000}"/>
    <cellStyle name="Nuovo 39 2 2" xfId="2878" xr:uid="{00000000-0005-0000-0000-000061180000}"/>
    <cellStyle name="Nuovo 39 3" xfId="1539" xr:uid="{00000000-0005-0000-0000-000062180000}"/>
    <cellStyle name="Nuovo 39 3 2" xfId="1540" xr:uid="{00000000-0005-0000-0000-000063180000}"/>
    <cellStyle name="Nuovo 39 3 2 2" xfId="4334" xr:uid="{00000000-0005-0000-0000-000064180000}"/>
    <cellStyle name="Nuovo 39 3 2 3" xfId="5366" xr:uid="{00000000-0005-0000-0000-000065180000}"/>
    <cellStyle name="Nuovo 39 3 3" xfId="1541" xr:uid="{00000000-0005-0000-0000-000066180000}"/>
    <cellStyle name="Nuovo 39 3 3 2" xfId="2880" xr:uid="{00000000-0005-0000-0000-000067180000}"/>
    <cellStyle name="Nuovo 39 3 4" xfId="2879" xr:uid="{00000000-0005-0000-0000-000068180000}"/>
    <cellStyle name="Nuovo 39 4" xfId="1542" xr:uid="{00000000-0005-0000-0000-000069180000}"/>
    <cellStyle name="Nuovo 39 4 2" xfId="1543" xr:uid="{00000000-0005-0000-0000-00006A180000}"/>
    <cellStyle name="Nuovo 39 4 2 2" xfId="2882" xr:uid="{00000000-0005-0000-0000-00006B180000}"/>
    <cellStyle name="Nuovo 39 4 3" xfId="2881" xr:uid="{00000000-0005-0000-0000-00006C180000}"/>
    <cellStyle name="Nuovo 39 5" xfId="1544" xr:uid="{00000000-0005-0000-0000-00006D180000}"/>
    <cellStyle name="Nuovo 4" xfId="346" xr:uid="{00000000-0005-0000-0000-00006E180000}"/>
    <cellStyle name="Nuovo 4 2" xfId="582" xr:uid="{00000000-0005-0000-0000-00006F180000}"/>
    <cellStyle name="Nuovo 4 2 2" xfId="2883" xr:uid="{00000000-0005-0000-0000-000070180000}"/>
    <cellStyle name="Nuovo 4 3" xfId="1545" xr:uid="{00000000-0005-0000-0000-000071180000}"/>
    <cellStyle name="Nuovo 4 3 2" xfId="1546" xr:uid="{00000000-0005-0000-0000-000072180000}"/>
    <cellStyle name="Nuovo 4 3 2 2" xfId="4335" xr:uid="{00000000-0005-0000-0000-000073180000}"/>
    <cellStyle name="Nuovo 4 3 2 3" xfId="5367" xr:uid="{00000000-0005-0000-0000-000074180000}"/>
    <cellStyle name="Nuovo 4 3 3" xfId="1547" xr:uid="{00000000-0005-0000-0000-000075180000}"/>
    <cellStyle name="Nuovo 4 3 3 2" xfId="2885" xr:uid="{00000000-0005-0000-0000-000076180000}"/>
    <cellStyle name="Nuovo 4 3 4" xfId="2884" xr:uid="{00000000-0005-0000-0000-000077180000}"/>
    <cellStyle name="Nuovo 4 4" xfId="1548" xr:uid="{00000000-0005-0000-0000-000078180000}"/>
    <cellStyle name="Nuovo 4 4 2" xfId="1549" xr:uid="{00000000-0005-0000-0000-000079180000}"/>
    <cellStyle name="Nuovo 4 4 2 2" xfId="2887" xr:uid="{00000000-0005-0000-0000-00007A180000}"/>
    <cellStyle name="Nuovo 4 4 3" xfId="2886" xr:uid="{00000000-0005-0000-0000-00007B180000}"/>
    <cellStyle name="Nuovo 4 5" xfId="1550" xr:uid="{00000000-0005-0000-0000-00007C180000}"/>
    <cellStyle name="Nuovo 40" xfId="347" xr:uid="{00000000-0005-0000-0000-00007D180000}"/>
    <cellStyle name="Nuovo 40 2" xfId="583" xr:uid="{00000000-0005-0000-0000-00007E180000}"/>
    <cellStyle name="Nuovo 40 2 2" xfId="2888" xr:uid="{00000000-0005-0000-0000-00007F180000}"/>
    <cellStyle name="Nuovo 40 3" xfId="1551" xr:uid="{00000000-0005-0000-0000-000080180000}"/>
    <cellStyle name="Nuovo 40 3 2" xfId="1552" xr:uid="{00000000-0005-0000-0000-000081180000}"/>
    <cellStyle name="Nuovo 40 3 2 2" xfId="4336" xr:uid="{00000000-0005-0000-0000-000082180000}"/>
    <cellStyle name="Nuovo 40 3 2 3" xfId="5368" xr:uid="{00000000-0005-0000-0000-000083180000}"/>
    <cellStyle name="Nuovo 40 3 3" xfId="1553" xr:uid="{00000000-0005-0000-0000-000084180000}"/>
    <cellStyle name="Nuovo 40 3 3 2" xfId="2890" xr:uid="{00000000-0005-0000-0000-000085180000}"/>
    <cellStyle name="Nuovo 40 3 4" xfId="2889" xr:uid="{00000000-0005-0000-0000-000086180000}"/>
    <cellStyle name="Nuovo 40 4" xfId="1554" xr:uid="{00000000-0005-0000-0000-000087180000}"/>
    <cellStyle name="Nuovo 40 4 2" xfId="1555" xr:uid="{00000000-0005-0000-0000-000088180000}"/>
    <cellStyle name="Nuovo 40 4 2 2" xfId="2892" xr:uid="{00000000-0005-0000-0000-000089180000}"/>
    <cellStyle name="Nuovo 40 4 3" xfId="2891" xr:uid="{00000000-0005-0000-0000-00008A180000}"/>
    <cellStyle name="Nuovo 40 5" xfId="1556" xr:uid="{00000000-0005-0000-0000-00008B180000}"/>
    <cellStyle name="Nuovo 41" xfId="348" xr:uid="{00000000-0005-0000-0000-00008C180000}"/>
    <cellStyle name="Nuovo 41 2" xfId="584" xr:uid="{00000000-0005-0000-0000-00008D180000}"/>
    <cellStyle name="Nuovo 41 2 2" xfId="2893" xr:uid="{00000000-0005-0000-0000-00008E180000}"/>
    <cellStyle name="Nuovo 41 3" xfId="1557" xr:uid="{00000000-0005-0000-0000-00008F180000}"/>
    <cellStyle name="Nuovo 41 3 2" xfId="1558" xr:uid="{00000000-0005-0000-0000-000090180000}"/>
    <cellStyle name="Nuovo 41 3 2 2" xfId="4337" xr:uid="{00000000-0005-0000-0000-000091180000}"/>
    <cellStyle name="Nuovo 41 3 2 3" xfId="5369" xr:uid="{00000000-0005-0000-0000-000092180000}"/>
    <cellStyle name="Nuovo 41 3 3" xfId="1559" xr:uid="{00000000-0005-0000-0000-000093180000}"/>
    <cellStyle name="Nuovo 41 3 3 2" xfId="2895" xr:uid="{00000000-0005-0000-0000-000094180000}"/>
    <cellStyle name="Nuovo 41 3 4" xfId="2894" xr:uid="{00000000-0005-0000-0000-000095180000}"/>
    <cellStyle name="Nuovo 41 4" xfId="1560" xr:uid="{00000000-0005-0000-0000-000096180000}"/>
    <cellStyle name="Nuovo 41 4 2" xfId="1561" xr:uid="{00000000-0005-0000-0000-000097180000}"/>
    <cellStyle name="Nuovo 41 4 2 2" xfId="2897" xr:uid="{00000000-0005-0000-0000-000098180000}"/>
    <cellStyle name="Nuovo 41 4 3" xfId="2896" xr:uid="{00000000-0005-0000-0000-000099180000}"/>
    <cellStyle name="Nuovo 41 5" xfId="1562" xr:uid="{00000000-0005-0000-0000-00009A180000}"/>
    <cellStyle name="Nuovo 42" xfId="349" xr:uid="{00000000-0005-0000-0000-00009B180000}"/>
    <cellStyle name="Nuovo 42 2" xfId="585" xr:uid="{00000000-0005-0000-0000-00009C180000}"/>
    <cellStyle name="Nuovo 42 2 2" xfId="2898" xr:uid="{00000000-0005-0000-0000-00009D180000}"/>
    <cellStyle name="Nuovo 42 3" xfId="1563" xr:uid="{00000000-0005-0000-0000-00009E180000}"/>
    <cellStyle name="Nuovo 42 3 2" xfId="1564" xr:uid="{00000000-0005-0000-0000-00009F180000}"/>
    <cellStyle name="Nuovo 42 3 2 2" xfId="4338" xr:uid="{00000000-0005-0000-0000-0000A0180000}"/>
    <cellStyle name="Nuovo 42 3 2 3" xfId="5370" xr:uid="{00000000-0005-0000-0000-0000A1180000}"/>
    <cellStyle name="Nuovo 42 3 3" xfId="1565" xr:uid="{00000000-0005-0000-0000-0000A2180000}"/>
    <cellStyle name="Nuovo 42 3 3 2" xfId="2900" xr:uid="{00000000-0005-0000-0000-0000A3180000}"/>
    <cellStyle name="Nuovo 42 3 4" xfId="2899" xr:uid="{00000000-0005-0000-0000-0000A4180000}"/>
    <cellStyle name="Nuovo 42 4" xfId="1566" xr:uid="{00000000-0005-0000-0000-0000A5180000}"/>
    <cellStyle name="Nuovo 42 4 2" xfId="1567" xr:uid="{00000000-0005-0000-0000-0000A6180000}"/>
    <cellStyle name="Nuovo 42 4 2 2" xfId="2902" xr:uid="{00000000-0005-0000-0000-0000A7180000}"/>
    <cellStyle name="Nuovo 42 4 3" xfId="2901" xr:uid="{00000000-0005-0000-0000-0000A8180000}"/>
    <cellStyle name="Nuovo 42 5" xfId="1568" xr:uid="{00000000-0005-0000-0000-0000A9180000}"/>
    <cellStyle name="Nuovo 43" xfId="350" xr:uid="{00000000-0005-0000-0000-0000AA180000}"/>
    <cellStyle name="Nuovo 43 2" xfId="586" xr:uid="{00000000-0005-0000-0000-0000AB180000}"/>
    <cellStyle name="Nuovo 43 2 2" xfId="2903" xr:uid="{00000000-0005-0000-0000-0000AC180000}"/>
    <cellStyle name="Nuovo 43 3" xfId="1569" xr:uid="{00000000-0005-0000-0000-0000AD180000}"/>
    <cellStyle name="Nuovo 43 3 2" xfId="1570" xr:uid="{00000000-0005-0000-0000-0000AE180000}"/>
    <cellStyle name="Nuovo 43 3 2 2" xfId="4339" xr:uid="{00000000-0005-0000-0000-0000AF180000}"/>
    <cellStyle name="Nuovo 43 3 2 3" xfId="5371" xr:uid="{00000000-0005-0000-0000-0000B0180000}"/>
    <cellStyle name="Nuovo 43 3 3" xfId="1571" xr:uid="{00000000-0005-0000-0000-0000B1180000}"/>
    <cellStyle name="Nuovo 43 3 3 2" xfId="2905" xr:uid="{00000000-0005-0000-0000-0000B2180000}"/>
    <cellStyle name="Nuovo 43 3 4" xfId="2904" xr:uid="{00000000-0005-0000-0000-0000B3180000}"/>
    <cellStyle name="Nuovo 43 4" xfId="1572" xr:uid="{00000000-0005-0000-0000-0000B4180000}"/>
    <cellStyle name="Nuovo 43 4 2" xfId="1573" xr:uid="{00000000-0005-0000-0000-0000B5180000}"/>
    <cellStyle name="Nuovo 43 4 2 2" xfId="2907" xr:uid="{00000000-0005-0000-0000-0000B6180000}"/>
    <cellStyle name="Nuovo 43 4 3" xfId="2906" xr:uid="{00000000-0005-0000-0000-0000B7180000}"/>
    <cellStyle name="Nuovo 43 5" xfId="1574" xr:uid="{00000000-0005-0000-0000-0000B8180000}"/>
    <cellStyle name="Nuovo 44" xfId="351" xr:uid="{00000000-0005-0000-0000-0000B9180000}"/>
    <cellStyle name="Nuovo 44 2" xfId="587" xr:uid="{00000000-0005-0000-0000-0000BA180000}"/>
    <cellStyle name="Nuovo 44 2 2" xfId="2908" xr:uid="{00000000-0005-0000-0000-0000BB180000}"/>
    <cellStyle name="Nuovo 44 3" xfId="1575" xr:uid="{00000000-0005-0000-0000-0000BC180000}"/>
    <cellStyle name="Nuovo 44 3 2" xfId="1576" xr:uid="{00000000-0005-0000-0000-0000BD180000}"/>
    <cellStyle name="Nuovo 44 3 2 2" xfId="4340" xr:uid="{00000000-0005-0000-0000-0000BE180000}"/>
    <cellStyle name="Nuovo 44 3 2 3" xfId="5372" xr:uid="{00000000-0005-0000-0000-0000BF180000}"/>
    <cellStyle name="Nuovo 44 3 3" xfId="1577" xr:uid="{00000000-0005-0000-0000-0000C0180000}"/>
    <cellStyle name="Nuovo 44 3 3 2" xfId="2910" xr:uid="{00000000-0005-0000-0000-0000C1180000}"/>
    <cellStyle name="Nuovo 44 3 4" xfId="2909" xr:uid="{00000000-0005-0000-0000-0000C2180000}"/>
    <cellStyle name="Nuovo 44 4" xfId="1578" xr:uid="{00000000-0005-0000-0000-0000C3180000}"/>
    <cellStyle name="Nuovo 44 4 2" xfId="1579" xr:uid="{00000000-0005-0000-0000-0000C4180000}"/>
    <cellStyle name="Nuovo 44 4 2 2" xfId="2912" xr:uid="{00000000-0005-0000-0000-0000C5180000}"/>
    <cellStyle name="Nuovo 44 4 3" xfId="2911" xr:uid="{00000000-0005-0000-0000-0000C6180000}"/>
    <cellStyle name="Nuovo 44 5" xfId="1580" xr:uid="{00000000-0005-0000-0000-0000C7180000}"/>
    <cellStyle name="Nuovo 45" xfId="549" xr:uid="{00000000-0005-0000-0000-0000C8180000}"/>
    <cellStyle name="Nuovo 45 2" xfId="2913" xr:uid="{00000000-0005-0000-0000-0000C9180000}"/>
    <cellStyle name="Nuovo 46" xfId="1581" xr:uid="{00000000-0005-0000-0000-0000CA180000}"/>
    <cellStyle name="Nuovo 46 2" xfId="1582" xr:uid="{00000000-0005-0000-0000-0000CB180000}"/>
    <cellStyle name="Nuovo 46 2 2" xfId="4341" xr:uid="{00000000-0005-0000-0000-0000CC180000}"/>
    <cellStyle name="Nuovo 46 2 3" xfId="5373" xr:uid="{00000000-0005-0000-0000-0000CD180000}"/>
    <cellStyle name="Nuovo 46 3" xfId="1583" xr:uid="{00000000-0005-0000-0000-0000CE180000}"/>
    <cellStyle name="Nuovo 46 3 2" xfId="2915" xr:uid="{00000000-0005-0000-0000-0000CF180000}"/>
    <cellStyle name="Nuovo 46 4" xfId="2914" xr:uid="{00000000-0005-0000-0000-0000D0180000}"/>
    <cellStyle name="Nuovo 47" xfId="1584" xr:uid="{00000000-0005-0000-0000-0000D1180000}"/>
    <cellStyle name="Nuovo 47 2" xfId="1585" xr:uid="{00000000-0005-0000-0000-0000D2180000}"/>
    <cellStyle name="Nuovo 47 2 2" xfId="2917" xr:uid="{00000000-0005-0000-0000-0000D3180000}"/>
    <cellStyle name="Nuovo 47 3" xfId="2916" xr:uid="{00000000-0005-0000-0000-0000D4180000}"/>
    <cellStyle name="Nuovo 48" xfId="1586" xr:uid="{00000000-0005-0000-0000-0000D5180000}"/>
    <cellStyle name="Nuovo 5" xfId="352" xr:uid="{00000000-0005-0000-0000-0000D6180000}"/>
    <cellStyle name="Nuovo 5 2" xfId="588" xr:uid="{00000000-0005-0000-0000-0000D7180000}"/>
    <cellStyle name="Nuovo 5 2 2" xfId="2918" xr:uid="{00000000-0005-0000-0000-0000D8180000}"/>
    <cellStyle name="Nuovo 5 3" xfId="1587" xr:uid="{00000000-0005-0000-0000-0000D9180000}"/>
    <cellStyle name="Nuovo 5 3 2" xfId="1588" xr:uid="{00000000-0005-0000-0000-0000DA180000}"/>
    <cellStyle name="Nuovo 5 3 2 2" xfId="4342" xr:uid="{00000000-0005-0000-0000-0000DB180000}"/>
    <cellStyle name="Nuovo 5 3 2 3" xfId="5374" xr:uid="{00000000-0005-0000-0000-0000DC180000}"/>
    <cellStyle name="Nuovo 5 3 3" xfId="1589" xr:uid="{00000000-0005-0000-0000-0000DD180000}"/>
    <cellStyle name="Nuovo 5 3 3 2" xfId="2920" xr:uid="{00000000-0005-0000-0000-0000DE180000}"/>
    <cellStyle name="Nuovo 5 3 4" xfId="2919" xr:uid="{00000000-0005-0000-0000-0000DF180000}"/>
    <cellStyle name="Nuovo 5 4" xfId="1590" xr:uid="{00000000-0005-0000-0000-0000E0180000}"/>
    <cellStyle name="Nuovo 5 4 2" xfId="1591" xr:uid="{00000000-0005-0000-0000-0000E1180000}"/>
    <cellStyle name="Nuovo 5 4 2 2" xfId="2922" xr:uid="{00000000-0005-0000-0000-0000E2180000}"/>
    <cellStyle name="Nuovo 5 4 3" xfId="2921" xr:uid="{00000000-0005-0000-0000-0000E3180000}"/>
    <cellStyle name="Nuovo 5 5" xfId="1592" xr:uid="{00000000-0005-0000-0000-0000E4180000}"/>
    <cellStyle name="Nuovo 6" xfId="353" xr:uid="{00000000-0005-0000-0000-0000E5180000}"/>
    <cellStyle name="Nuovo 6 2" xfId="589" xr:uid="{00000000-0005-0000-0000-0000E6180000}"/>
    <cellStyle name="Nuovo 6 2 2" xfId="2923" xr:uid="{00000000-0005-0000-0000-0000E7180000}"/>
    <cellStyle name="Nuovo 6 3" xfId="1593" xr:uid="{00000000-0005-0000-0000-0000E8180000}"/>
    <cellStyle name="Nuovo 6 3 2" xfId="1594" xr:uid="{00000000-0005-0000-0000-0000E9180000}"/>
    <cellStyle name="Nuovo 6 3 2 2" xfId="4343" xr:uid="{00000000-0005-0000-0000-0000EA180000}"/>
    <cellStyle name="Nuovo 6 3 2 3" xfId="5375" xr:uid="{00000000-0005-0000-0000-0000EB180000}"/>
    <cellStyle name="Nuovo 6 3 3" xfId="1595" xr:uid="{00000000-0005-0000-0000-0000EC180000}"/>
    <cellStyle name="Nuovo 6 3 3 2" xfId="2925" xr:uid="{00000000-0005-0000-0000-0000ED180000}"/>
    <cellStyle name="Nuovo 6 3 4" xfId="2924" xr:uid="{00000000-0005-0000-0000-0000EE180000}"/>
    <cellStyle name="Nuovo 6 4" xfId="1596" xr:uid="{00000000-0005-0000-0000-0000EF180000}"/>
    <cellStyle name="Nuovo 6 4 2" xfId="1597" xr:uid="{00000000-0005-0000-0000-0000F0180000}"/>
    <cellStyle name="Nuovo 6 4 2 2" xfId="2927" xr:uid="{00000000-0005-0000-0000-0000F1180000}"/>
    <cellStyle name="Nuovo 6 4 3" xfId="2926" xr:uid="{00000000-0005-0000-0000-0000F2180000}"/>
    <cellStyle name="Nuovo 6 5" xfId="1598" xr:uid="{00000000-0005-0000-0000-0000F3180000}"/>
    <cellStyle name="Nuovo 7" xfId="354" xr:uid="{00000000-0005-0000-0000-0000F4180000}"/>
    <cellStyle name="Nuovo 7 2" xfId="590" xr:uid="{00000000-0005-0000-0000-0000F5180000}"/>
    <cellStyle name="Nuovo 7 2 2" xfId="2928" xr:uid="{00000000-0005-0000-0000-0000F6180000}"/>
    <cellStyle name="Nuovo 7 3" xfId="1599" xr:uid="{00000000-0005-0000-0000-0000F7180000}"/>
    <cellStyle name="Nuovo 7 3 2" xfId="1600" xr:uid="{00000000-0005-0000-0000-0000F8180000}"/>
    <cellStyle name="Nuovo 7 3 2 2" xfId="4344" xr:uid="{00000000-0005-0000-0000-0000F9180000}"/>
    <cellStyle name="Nuovo 7 3 2 3" xfId="5376" xr:uid="{00000000-0005-0000-0000-0000FA180000}"/>
    <cellStyle name="Nuovo 7 3 3" xfId="1601" xr:uid="{00000000-0005-0000-0000-0000FB180000}"/>
    <cellStyle name="Nuovo 7 3 3 2" xfId="2930" xr:uid="{00000000-0005-0000-0000-0000FC180000}"/>
    <cellStyle name="Nuovo 7 3 4" xfId="2929" xr:uid="{00000000-0005-0000-0000-0000FD180000}"/>
    <cellStyle name="Nuovo 7 4" xfId="1602" xr:uid="{00000000-0005-0000-0000-0000FE180000}"/>
    <cellStyle name="Nuovo 7 4 2" xfId="1603" xr:uid="{00000000-0005-0000-0000-0000FF180000}"/>
    <cellStyle name="Nuovo 7 4 2 2" xfId="2932" xr:uid="{00000000-0005-0000-0000-000000190000}"/>
    <cellStyle name="Nuovo 7 4 3" xfId="2931" xr:uid="{00000000-0005-0000-0000-000001190000}"/>
    <cellStyle name="Nuovo 7 5" xfId="1604" xr:uid="{00000000-0005-0000-0000-000002190000}"/>
    <cellStyle name="Nuovo 8" xfId="355" xr:uid="{00000000-0005-0000-0000-000003190000}"/>
    <cellStyle name="Nuovo 8 2" xfId="591" xr:uid="{00000000-0005-0000-0000-000004190000}"/>
    <cellStyle name="Nuovo 8 2 2" xfId="2933" xr:uid="{00000000-0005-0000-0000-000005190000}"/>
    <cellStyle name="Nuovo 8 3" xfId="1605" xr:uid="{00000000-0005-0000-0000-000006190000}"/>
    <cellStyle name="Nuovo 8 3 2" xfId="1606" xr:uid="{00000000-0005-0000-0000-000007190000}"/>
    <cellStyle name="Nuovo 8 3 2 2" xfId="4345" xr:uid="{00000000-0005-0000-0000-000008190000}"/>
    <cellStyle name="Nuovo 8 3 2 3" xfId="5377" xr:uid="{00000000-0005-0000-0000-000009190000}"/>
    <cellStyle name="Nuovo 8 3 3" xfId="1607" xr:uid="{00000000-0005-0000-0000-00000A190000}"/>
    <cellStyle name="Nuovo 8 3 3 2" xfId="2935" xr:uid="{00000000-0005-0000-0000-00000B190000}"/>
    <cellStyle name="Nuovo 8 3 4" xfId="2934" xr:uid="{00000000-0005-0000-0000-00000C190000}"/>
    <cellStyle name="Nuovo 8 4" xfId="1608" xr:uid="{00000000-0005-0000-0000-00000D190000}"/>
    <cellStyle name="Nuovo 8 4 2" xfId="1609" xr:uid="{00000000-0005-0000-0000-00000E190000}"/>
    <cellStyle name="Nuovo 8 4 2 2" xfId="2937" xr:uid="{00000000-0005-0000-0000-00000F190000}"/>
    <cellStyle name="Nuovo 8 4 3" xfId="2936" xr:uid="{00000000-0005-0000-0000-000010190000}"/>
    <cellStyle name="Nuovo 8 5" xfId="1610" xr:uid="{00000000-0005-0000-0000-000011190000}"/>
    <cellStyle name="Nuovo 9" xfId="356" xr:uid="{00000000-0005-0000-0000-000012190000}"/>
    <cellStyle name="Nuovo 9 2" xfId="592" xr:uid="{00000000-0005-0000-0000-000013190000}"/>
    <cellStyle name="Nuovo 9 2 2" xfId="2938" xr:uid="{00000000-0005-0000-0000-000014190000}"/>
    <cellStyle name="Nuovo 9 3" xfId="1611" xr:uid="{00000000-0005-0000-0000-000015190000}"/>
    <cellStyle name="Nuovo 9 3 2" xfId="1612" xr:uid="{00000000-0005-0000-0000-000016190000}"/>
    <cellStyle name="Nuovo 9 3 2 2" xfId="4346" xr:uid="{00000000-0005-0000-0000-000017190000}"/>
    <cellStyle name="Nuovo 9 3 2 3" xfId="5378" xr:uid="{00000000-0005-0000-0000-000018190000}"/>
    <cellStyle name="Nuovo 9 3 3" xfId="1613" xr:uid="{00000000-0005-0000-0000-000019190000}"/>
    <cellStyle name="Nuovo 9 3 3 2" xfId="2940" xr:uid="{00000000-0005-0000-0000-00001A190000}"/>
    <cellStyle name="Nuovo 9 3 4" xfId="2939" xr:uid="{00000000-0005-0000-0000-00001B190000}"/>
    <cellStyle name="Nuovo 9 4" xfId="1614" xr:uid="{00000000-0005-0000-0000-00001C190000}"/>
    <cellStyle name="Nuovo 9 4 2" xfId="1615" xr:uid="{00000000-0005-0000-0000-00001D190000}"/>
    <cellStyle name="Nuovo 9 4 2 2" xfId="2942" xr:uid="{00000000-0005-0000-0000-00001E190000}"/>
    <cellStyle name="Nuovo 9 4 3" xfId="2941" xr:uid="{00000000-0005-0000-0000-00001F190000}"/>
    <cellStyle name="Nuovo 9 5" xfId="1616" xr:uid="{00000000-0005-0000-0000-000020190000}"/>
    <cellStyle name="Output 2" xfId="357" xr:uid="{00000000-0005-0000-0000-000021190000}"/>
    <cellStyle name="Output 2 2" xfId="4347" xr:uid="{00000000-0005-0000-0000-000022190000}"/>
    <cellStyle name="Output 2 2 2" xfId="4348" xr:uid="{00000000-0005-0000-0000-000023190000}"/>
    <cellStyle name="Output 2 2 2 2" xfId="7648" xr:uid="{00000000-0005-0000-0000-000024190000}"/>
    <cellStyle name="Output 2 2 3" xfId="7649" xr:uid="{00000000-0005-0000-0000-000025190000}"/>
    <cellStyle name="Output 2 3" xfId="4349" xr:uid="{00000000-0005-0000-0000-000026190000}"/>
    <cellStyle name="Output 2 3 2" xfId="7647" xr:uid="{00000000-0005-0000-0000-000027190000}"/>
    <cellStyle name="Output 2 4" xfId="7650" xr:uid="{00000000-0005-0000-0000-000028190000}"/>
    <cellStyle name="Output 3" xfId="1617" xr:uid="{00000000-0005-0000-0000-000029190000}"/>
    <cellStyle name="Output 3 2" xfId="4350" xr:uid="{00000000-0005-0000-0000-00002A190000}"/>
    <cellStyle name="Output 3 2 2" xfId="7645" xr:uid="{00000000-0005-0000-0000-00002B190000}"/>
    <cellStyle name="Output 3 3" xfId="4351" xr:uid="{00000000-0005-0000-0000-00002C190000}"/>
    <cellStyle name="Output 3 4" xfId="7646" xr:uid="{00000000-0005-0000-0000-00002D190000}"/>
    <cellStyle name="Overskrift 1 2" xfId="1618" xr:uid="{00000000-0005-0000-0000-00002E190000}"/>
    <cellStyle name="Overskrift 2 2" xfId="1619" xr:uid="{00000000-0005-0000-0000-00002F190000}"/>
    <cellStyle name="Overskrift 3 2" xfId="1620" xr:uid="{00000000-0005-0000-0000-000030190000}"/>
    <cellStyle name="Overskrift 4 2" xfId="1621" xr:uid="{00000000-0005-0000-0000-000031190000}"/>
    <cellStyle name="Percen - Type1" xfId="9" xr:uid="{00000000-0005-0000-0000-000032190000}"/>
    <cellStyle name="Percent" xfId="436" builtinId="5"/>
    <cellStyle name="Percent 2" xfId="10" xr:uid="{00000000-0005-0000-0000-000034190000}"/>
    <cellStyle name="Percent 2 2" xfId="2943" xr:uid="{00000000-0005-0000-0000-000035190000}"/>
    <cellStyle name="Percent 2 2 2" xfId="4352" xr:uid="{00000000-0005-0000-0000-000036190000}"/>
    <cellStyle name="Percent 2 2 3" xfId="4353" xr:uid="{00000000-0005-0000-0000-000037190000}"/>
    <cellStyle name="Percent 2 2 3 2" xfId="4354" xr:uid="{00000000-0005-0000-0000-000038190000}"/>
    <cellStyle name="Percent 2 2 3 2 2" xfId="6378" xr:uid="{00000000-0005-0000-0000-000039190000}"/>
    <cellStyle name="Percent 2 2 3 2 3" xfId="7323" xr:uid="{00000000-0005-0000-0000-00003A190000}"/>
    <cellStyle name="Percent 2 2 3 2 4" xfId="7456" xr:uid="{00000000-0005-0000-0000-00003B190000}"/>
    <cellStyle name="Percent 2 2 3 3" xfId="6377" xr:uid="{00000000-0005-0000-0000-00003C190000}"/>
    <cellStyle name="Percent 2 2 3 4" xfId="7322" xr:uid="{00000000-0005-0000-0000-00003D190000}"/>
    <cellStyle name="Percent 2 2 3 5" xfId="7455" xr:uid="{00000000-0005-0000-0000-00003E190000}"/>
    <cellStyle name="Percent 2 2 4" xfId="4355" xr:uid="{00000000-0005-0000-0000-00003F190000}"/>
    <cellStyle name="Percent 2 2 4 2" xfId="6379" xr:uid="{00000000-0005-0000-0000-000040190000}"/>
    <cellStyle name="Percent 2 2 4 3" xfId="7324" xr:uid="{00000000-0005-0000-0000-000041190000}"/>
    <cellStyle name="Percent 2 2 4 4" xfId="7457" xr:uid="{00000000-0005-0000-0000-000042190000}"/>
    <cellStyle name="Percent 2 2 5" xfId="6376" xr:uid="{00000000-0005-0000-0000-000043190000}"/>
    <cellStyle name="Percent 2 2 6" xfId="7321" xr:uid="{00000000-0005-0000-0000-000044190000}"/>
    <cellStyle name="Percent 2 2 7" xfId="7454" xr:uid="{00000000-0005-0000-0000-000045190000}"/>
    <cellStyle name="Percent 2 3" xfId="4356" xr:uid="{00000000-0005-0000-0000-000046190000}"/>
    <cellStyle name="Percent 2 3 2" xfId="4357" xr:uid="{00000000-0005-0000-0000-000047190000}"/>
    <cellStyle name="Percent 2 3 2 2" xfId="6381" xr:uid="{00000000-0005-0000-0000-000048190000}"/>
    <cellStyle name="Percent 2 3 2 3" xfId="7326" xr:uid="{00000000-0005-0000-0000-000049190000}"/>
    <cellStyle name="Percent 2 3 2 4" xfId="7459" xr:uid="{00000000-0005-0000-0000-00004A190000}"/>
    <cellStyle name="Percent 2 3 3" xfId="6380" xr:uid="{00000000-0005-0000-0000-00004B190000}"/>
    <cellStyle name="Percent 2 3 4" xfId="7325" xr:uid="{00000000-0005-0000-0000-00004C190000}"/>
    <cellStyle name="Percent 2 3 5" xfId="7458" xr:uid="{00000000-0005-0000-0000-00004D190000}"/>
    <cellStyle name="Percent 3" xfId="358" xr:uid="{00000000-0005-0000-0000-00004E190000}"/>
    <cellStyle name="Percent 3 2" xfId="593" xr:uid="{00000000-0005-0000-0000-00004F190000}"/>
    <cellStyle name="Percent 3 2 2" xfId="1623" xr:uid="{00000000-0005-0000-0000-000050190000}"/>
    <cellStyle name="Percent 3 2 3" xfId="4358" xr:uid="{00000000-0005-0000-0000-000051190000}"/>
    <cellStyle name="Percent 3 3" xfId="1624" xr:uid="{00000000-0005-0000-0000-000052190000}"/>
    <cellStyle name="Percent 3 3 2" xfId="1625" xr:uid="{00000000-0005-0000-0000-000053190000}"/>
    <cellStyle name="Percent 3 3 2 2" xfId="4359" xr:uid="{00000000-0005-0000-0000-000054190000}"/>
    <cellStyle name="Percent 3 3 2 3" xfId="5379" xr:uid="{00000000-0005-0000-0000-000055190000}"/>
    <cellStyle name="Percent 3 3 3" xfId="1626" xr:uid="{00000000-0005-0000-0000-000056190000}"/>
    <cellStyle name="Percent 3 3 3 2" xfId="2945" xr:uid="{00000000-0005-0000-0000-000057190000}"/>
    <cellStyle name="Percent 3 3 4" xfId="2944" xr:uid="{00000000-0005-0000-0000-000058190000}"/>
    <cellStyle name="Percent 3 4" xfId="1627" xr:uid="{00000000-0005-0000-0000-000059190000}"/>
    <cellStyle name="Percent 3 4 2" xfId="4360" xr:uid="{00000000-0005-0000-0000-00005A190000}"/>
    <cellStyle name="Percent 3 4 3" xfId="5380" xr:uid="{00000000-0005-0000-0000-00005B190000}"/>
    <cellStyle name="Percent 3 5" xfId="1628" xr:uid="{00000000-0005-0000-0000-00005C190000}"/>
    <cellStyle name="Percent 3 5 2" xfId="2946" xr:uid="{00000000-0005-0000-0000-00005D190000}"/>
    <cellStyle name="Percent 3 6" xfId="1622" xr:uid="{00000000-0005-0000-0000-00005E190000}"/>
    <cellStyle name="Percent 4" xfId="1629" xr:uid="{00000000-0005-0000-0000-00005F190000}"/>
    <cellStyle name="Percent 4 2" xfId="1630" xr:uid="{00000000-0005-0000-0000-000060190000}"/>
    <cellStyle name="Percent 4 2 2" xfId="2948" xr:uid="{00000000-0005-0000-0000-000061190000}"/>
    <cellStyle name="Percent 4 3" xfId="2947" xr:uid="{00000000-0005-0000-0000-000062190000}"/>
    <cellStyle name="Percent 5" xfId="1631" xr:uid="{00000000-0005-0000-0000-000063190000}"/>
    <cellStyle name="Percent 6" xfId="4361" xr:uid="{00000000-0005-0000-0000-000064190000}"/>
    <cellStyle name="Percent 6 2" xfId="6439" xr:uid="{00000000-0005-0000-0000-000065190000}"/>
    <cellStyle name="Percent 6 3" xfId="7332" xr:uid="{00000000-0005-0000-0000-000066190000}"/>
    <cellStyle name="Percent 6 4" xfId="7465" xr:uid="{00000000-0005-0000-0000-000067190000}"/>
    <cellStyle name="Percentuale 10" xfId="359" xr:uid="{00000000-0005-0000-0000-000068190000}"/>
    <cellStyle name="Percentuale 10 2" xfId="594" xr:uid="{00000000-0005-0000-0000-000069190000}"/>
    <cellStyle name="Percentuale 10 2 2" xfId="2949" xr:uid="{00000000-0005-0000-0000-00006A190000}"/>
    <cellStyle name="Percentuale 10 3" xfId="1632" xr:uid="{00000000-0005-0000-0000-00006B190000}"/>
    <cellStyle name="Percentuale 10 3 2" xfId="1633" xr:uid="{00000000-0005-0000-0000-00006C190000}"/>
    <cellStyle name="Percentuale 10 3 2 2" xfId="4362" xr:uid="{00000000-0005-0000-0000-00006D190000}"/>
    <cellStyle name="Percentuale 10 3 2 3" xfId="5381" xr:uid="{00000000-0005-0000-0000-00006E190000}"/>
    <cellStyle name="Percentuale 10 3 3" xfId="1634" xr:uid="{00000000-0005-0000-0000-00006F190000}"/>
    <cellStyle name="Percentuale 10 3 3 2" xfId="2951" xr:uid="{00000000-0005-0000-0000-000070190000}"/>
    <cellStyle name="Percentuale 10 3 4" xfId="2950" xr:uid="{00000000-0005-0000-0000-000071190000}"/>
    <cellStyle name="Percentuale 10 4" xfId="1635" xr:uid="{00000000-0005-0000-0000-000072190000}"/>
    <cellStyle name="Percentuale 10 4 2" xfId="1636" xr:uid="{00000000-0005-0000-0000-000073190000}"/>
    <cellStyle name="Percentuale 10 4 2 2" xfId="2953" xr:uid="{00000000-0005-0000-0000-000074190000}"/>
    <cellStyle name="Percentuale 10 4 3" xfId="2952" xr:uid="{00000000-0005-0000-0000-000075190000}"/>
    <cellStyle name="Percentuale 10 5" xfId="1637" xr:uid="{00000000-0005-0000-0000-000076190000}"/>
    <cellStyle name="Percentuale 11" xfId="360" xr:uid="{00000000-0005-0000-0000-000077190000}"/>
    <cellStyle name="Percentuale 11 2" xfId="595" xr:uid="{00000000-0005-0000-0000-000078190000}"/>
    <cellStyle name="Percentuale 11 2 2" xfId="2954" xr:uid="{00000000-0005-0000-0000-000079190000}"/>
    <cellStyle name="Percentuale 11 3" xfId="1638" xr:uid="{00000000-0005-0000-0000-00007A190000}"/>
    <cellStyle name="Percentuale 11 3 2" xfId="1639" xr:uid="{00000000-0005-0000-0000-00007B190000}"/>
    <cellStyle name="Percentuale 11 3 2 2" xfId="4363" xr:uid="{00000000-0005-0000-0000-00007C190000}"/>
    <cellStyle name="Percentuale 11 3 2 3" xfId="5382" xr:uid="{00000000-0005-0000-0000-00007D190000}"/>
    <cellStyle name="Percentuale 11 3 3" xfId="1640" xr:uid="{00000000-0005-0000-0000-00007E190000}"/>
    <cellStyle name="Percentuale 11 3 3 2" xfId="2956" xr:uid="{00000000-0005-0000-0000-00007F190000}"/>
    <cellStyle name="Percentuale 11 3 4" xfId="2955" xr:uid="{00000000-0005-0000-0000-000080190000}"/>
    <cellStyle name="Percentuale 11 4" xfId="1641" xr:uid="{00000000-0005-0000-0000-000081190000}"/>
    <cellStyle name="Percentuale 11 4 2" xfId="1642" xr:uid="{00000000-0005-0000-0000-000082190000}"/>
    <cellStyle name="Percentuale 11 4 2 2" xfId="2958" xr:uid="{00000000-0005-0000-0000-000083190000}"/>
    <cellStyle name="Percentuale 11 4 3" xfId="2957" xr:uid="{00000000-0005-0000-0000-000084190000}"/>
    <cellStyle name="Percentuale 11 5" xfId="1643" xr:uid="{00000000-0005-0000-0000-000085190000}"/>
    <cellStyle name="Percentuale 12" xfId="361" xr:uid="{00000000-0005-0000-0000-000086190000}"/>
    <cellStyle name="Percentuale 12 2" xfId="596" xr:uid="{00000000-0005-0000-0000-000087190000}"/>
    <cellStyle name="Percentuale 12 2 2" xfId="2959" xr:uid="{00000000-0005-0000-0000-000088190000}"/>
    <cellStyle name="Percentuale 12 3" xfId="1644" xr:uid="{00000000-0005-0000-0000-000089190000}"/>
    <cellStyle name="Percentuale 12 3 2" xfId="1645" xr:uid="{00000000-0005-0000-0000-00008A190000}"/>
    <cellStyle name="Percentuale 12 3 2 2" xfId="4364" xr:uid="{00000000-0005-0000-0000-00008B190000}"/>
    <cellStyle name="Percentuale 12 3 2 3" xfId="5383" xr:uid="{00000000-0005-0000-0000-00008C190000}"/>
    <cellStyle name="Percentuale 12 3 3" xfId="1646" xr:uid="{00000000-0005-0000-0000-00008D190000}"/>
    <cellStyle name="Percentuale 12 3 3 2" xfId="2961" xr:uid="{00000000-0005-0000-0000-00008E190000}"/>
    <cellStyle name="Percentuale 12 3 4" xfId="2960" xr:uid="{00000000-0005-0000-0000-00008F190000}"/>
    <cellStyle name="Percentuale 12 4" xfId="1647" xr:uid="{00000000-0005-0000-0000-000090190000}"/>
    <cellStyle name="Percentuale 12 4 2" xfId="1648" xr:uid="{00000000-0005-0000-0000-000091190000}"/>
    <cellStyle name="Percentuale 12 4 2 2" xfId="2963" xr:uid="{00000000-0005-0000-0000-000092190000}"/>
    <cellStyle name="Percentuale 12 4 3" xfId="2962" xr:uid="{00000000-0005-0000-0000-000093190000}"/>
    <cellStyle name="Percentuale 12 5" xfId="1649" xr:uid="{00000000-0005-0000-0000-000094190000}"/>
    <cellStyle name="Percentuale 13" xfId="362" xr:uid="{00000000-0005-0000-0000-000095190000}"/>
    <cellStyle name="Percentuale 13 2" xfId="597" xr:uid="{00000000-0005-0000-0000-000096190000}"/>
    <cellStyle name="Percentuale 13 2 2" xfId="2964" xr:uid="{00000000-0005-0000-0000-000097190000}"/>
    <cellStyle name="Percentuale 13 3" xfId="1650" xr:uid="{00000000-0005-0000-0000-000098190000}"/>
    <cellStyle name="Percentuale 13 3 2" xfId="1651" xr:uid="{00000000-0005-0000-0000-000099190000}"/>
    <cellStyle name="Percentuale 13 3 2 2" xfId="4365" xr:uid="{00000000-0005-0000-0000-00009A190000}"/>
    <cellStyle name="Percentuale 13 3 2 3" xfId="5384" xr:uid="{00000000-0005-0000-0000-00009B190000}"/>
    <cellStyle name="Percentuale 13 3 3" xfId="1652" xr:uid="{00000000-0005-0000-0000-00009C190000}"/>
    <cellStyle name="Percentuale 13 3 3 2" xfId="2966" xr:uid="{00000000-0005-0000-0000-00009D190000}"/>
    <cellStyle name="Percentuale 13 3 4" xfId="2965" xr:uid="{00000000-0005-0000-0000-00009E190000}"/>
    <cellStyle name="Percentuale 13 4" xfId="1653" xr:uid="{00000000-0005-0000-0000-00009F190000}"/>
    <cellStyle name="Percentuale 13 4 2" xfId="1654" xr:uid="{00000000-0005-0000-0000-0000A0190000}"/>
    <cellStyle name="Percentuale 13 4 2 2" xfId="2968" xr:uid="{00000000-0005-0000-0000-0000A1190000}"/>
    <cellStyle name="Percentuale 13 4 3" xfId="2967" xr:uid="{00000000-0005-0000-0000-0000A2190000}"/>
    <cellStyle name="Percentuale 13 5" xfId="1655" xr:uid="{00000000-0005-0000-0000-0000A3190000}"/>
    <cellStyle name="Percentuale 14" xfId="363" xr:uid="{00000000-0005-0000-0000-0000A4190000}"/>
    <cellStyle name="Percentuale 14 2" xfId="598" xr:uid="{00000000-0005-0000-0000-0000A5190000}"/>
    <cellStyle name="Percentuale 14 2 2" xfId="2969" xr:uid="{00000000-0005-0000-0000-0000A6190000}"/>
    <cellStyle name="Percentuale 14 3" xfId="1656" xr:uid="{00000000-0005-0000-0000-0000A7190000}"/>
    <cellStyle name="Percentuale 14 3 2" xfId="1657" xr:uid="{00000000-0005-0000-0000-0000A8190000}"/>
    <cellStyle name="Percentuale 14 3 2 2" xfId="4366" xr:uid="{00000000-0005-0000-0000-0000A9190000}"/>
    <cellStyle name="Percentuale 14 3 2 3" xfId="5385" xr:uid="{00000000-0005-0000-0000-0000AA190000}"/>
    <cellStyle name="Percentuale 14 3 3" xfId="1658" xr:uid="{00000000-0005-0000-0000-0000AB190000}"/>
    <cellStyle name="Percentuale 14 3 3 2" xfId="2971" xr:uid="{00000000-0005-0000-0000-0000AC190000}"/>
    <cellStyle name="Percentuale 14 3 4" xfId="2970" xr:uid="{00000000-0005-0000-0000-0000AD190000}"/>
    <cellStyle name="Percentuale 14 4" xfId="1659" xr:uid="{00000000-0005-0000-0000-0000AE190000}"/>
    <cellStyle name="Percentuale 14 4 2" xfId="1660" xr:uid="{00000000-0005-0000-0000-0000AF190000}"/>
    <cellStyle name="Percentuale 14 4 2 2" xfId="2973" xr:uid="{00000000-0005-0000-0000-0000B0190000}"/>
    <cellStyle name="Percentuale 14 4 3" xfId="2972" xr:uid="{00000000-0005-0000-0000-0000B1190000}"/>
    <cellStyle name="Percentuale 14 5" xfId="1661" xr:uid="{00000000-0005-0000-0000-0000B2190000}"/>
    <cellStyle name="Percentuale 15" xfId="364" xr:uid="{00000000-0005-0000-0000-0000B3190000}"/>
    <cellStyle name="Percentuale 15 2" xfId="599" xr:uid="{00000000-0005-0000-0000-0000B4190000}"/>
    <cellStyle name="Percentuale 15 2 2" xfId="2974" xr:uid="{00000000-0005-0000-0000-0000B5190000}"/>
    <cellStyle name="Percentuale 15 3" xfId="1662" xr:uid="{00000000-0005-0000-0000-0000B6190000}"/>
    <cellStyle name="Percentuale 15 3 2" xfId="1663" xr:uid="{00000000-0005-0000-0000-0000B7190000}"/>
    <cellStyle name="Percentuale 15 3 2 2" xfId="4367" xr:uid="{00000000-0005-0000-0000-0000B8190000}"/>
    <cellStyle name="Percentuale 15 3 2 3" xfId="5386" xr:uid="{00000000-0005-0000-0000-0000B9190000}"/>
    <cellStyle name="Percentuale 15 3 3" xfId="1664" xr:uid="{00000000-0005-0000-0000-0000BA190000}"/>
    <cellStyle name="Percentuale 15 3 3 2" xfId="2976" xr:uid="{00000000-0005-0000-0000-0000BB190000}"/>
    <cellStyle name="Percentuale 15 3 4" xfId="2975" xr:uid="{00000000-0005-0000-0000-0000BC190000}"/>
    <cellStyle name="Percentuale 15 4" xfId="1665" xr:uid="{00000000-0005-0000-0000-0000BD190000}"/>
    <cellStyle name="Percentuale 15 4 2" xfId="1666" xr:uid="{00000000-0005-0000-0000-0000BE190000}"/>
    <cellStyle name="Percentuale 15 4 2 2" xfId="2978" xr:uid="{00000000-0005-0000-0000-0000BF190000}"/>
    <cellStyle name="Percentuale 15 4 3" xfId="2977" xr:uid="{00000000-0005-0000-0000-0000C0190000}"/>
    <cellStyle name="Percentuale 15 5" xfId="1667" xr:uid="{00000000-0005-0000-0000-0000C1190000}"/>
    <cellStyle name="Percentuale 16" xfId="365" xr:uid="{00000000-0005-0000-0000-0000C2190000}"/>
    <cellStyle name="Percentuale 16 2" xfId="600" xr:uid="{00000000-0005-0000-0000-0000C3190000}"/>
    <cellStyle name="Percentuale 16 2 2" xfId="2979" xr:uid="{00000000-0005-0000-0000-0000C4190000}"/>
    <cellStyle name="Percentuale 16 3" xfId="1668" xr:uid="{00000000-0005-0000-0000-0000C5190000}"/>
    <cellStyle name="Percentuale 16 3 2" xfId="1669" xr:uid="{00000000-0005-0000-0000-0000C6190000}"/>
    <cellStyle name="Percentuale 16 3 2 2" xfId="4368" xr:uid="{00000000-0005-0000-0000-0000C7190000}"/>
    <cellStyle name="Percentuale 16 3 2 3" xfId="5387" xr:uid="{00000000-0005-0000-0000-0000C8190000}"/>
    <cellStyle name="Percentuale 16 3 3" xfId="1670" xr:uid="{00000000-0005-0000-0000-0000C9190000}"/>
    <cellStyle name="Percentuale 16 3 3 2" xfId="2981" xr:uid="{00000000-0005-0000-0000-0000CA190000}"/>
    <cellStyle name="Percentuale 16 3 4" xfId="2980" xr:uid="{00000000-0005-0000-0000-0000CB190000}"/>
    <cellStyle name="Percentuale 16 4" xfId="1671" xr:uid="{00000000-0005-0000-0000-0000CC190000}"/>
    <cellStyle name="Percentuale 16 4 2" xfId="1672" xr:uid="{00000000-0005-0000-0000-0000CD190000}"/>
    <cellStyle name="Percentuale 16 4 2 2" xfId="2983" xr:uid="{00000000-0005-0000-0000-0000CE190000}"/>
    <cellStyle name="Percentuale 16 4 3" xfId="2982" xr:uid="{00000000-0005-0000-0000-0000CF190000}"/>
    <cellStyle name="Percentuale 16 5" xfId="1673" xr:uid="{00000000-0005-0000-0000-0000D0190000}"/>
    <cellStyle name="Percentuale 17" xfId="366" xr:uid="{00000000-0005-0000-0000-0000D1190000}"/>
    <cellStyle name="Percentuale 17 2" xfId="601" xr:uid="{00000000-0005-0000-0000-0000D2190000}"/>
    <cellStyle name="Percentuale 17 2 2" xfId="2984" xr:uid="{00000000-0005-0000-0000-0000D3190000}"/>
    <cellStyle name="Percentuale 17 3" xfId="1674" xr:uid="{00000000-0005-0000-0000-0000D4190000}"/>
    <cellStyle name="Percentuale 17 3 2" xfId="1675" xr:uid="{00000000-0005-0000-0000-0000D5190000}"/>
    <cellStyle name="Percentuale 17 3 2 2" xfId="4369" xr:uid="{00000000-0005-0000-0000-0000D6190000}"/>
    <cellStyle name="Percentuale 17 3 2 3" xfId="5388" xr:uid="{00000000-0005-0000-0000-0000D7190000}"/>
    <cellStyle name="Percentuale 17 3 3" xfId="1676" xr:uid="{00000000-0005-0000-0000-0000D8190000}"/>
    <cellStyle name="Percentuale 17 3 3 2" xfId="2986" xr:uid="{00000000-0005-0000-0000-0000D9190000}"/>
    <cellStyle name="Percentuale 17 3 4" xfId="2985" xr:uid="{00000000-0005-0000-0000-0000DA190000}"/>
    <cellStyle name="Percentuale 17 4" xfId="1677" xr:uid="{00000000-0005-0000-0000-0000DB190000}"/>
    <cellStyle name="Percentuale 17 4 2" xfId="1678" xr:uid="{00000000-0005-0000-0000-0000DC190000}"/>
    <cellStyle name="Percentuale 17 4 2 2" xfId="2988" xr:uid="{00000000-0005-0000-0000-0000DD190000}"/>
    <cellStyle name="Percentuale 17 4 3" xfId="2987" xr:uid="{00000000-0005-0000-0000-0000DE190000}"/>
    <cellStyle name="Percentuale 17 5" xfId="1679" xr:uid="{00000000-0005-0000-0000-0000DF190000}"/>
    <cellStyle name="Percentuale 18" xfId="367" xr:uid="{00000000-0005-0000-0000-0000E0190000}"/>
    <cellStyle name="Percentuale 18 2" xfId="602" xr:uid="{00000000-0005-0000-0000-0000E1190000}"/>
    <cellStyle name="Percentuale 18 2 2" xfId="2989" xr:uid="{00000000-0005-0000-0000-0000E2190000}"/>
    <cellStyle name="Percentuale 18 3" xfId="1680" xr:uid="{00000000-0005-0000-0000-0000E3190000}"/>
    <cellStyle name="Percentuale 18 3 2" xfId="1681" xr:uid="{00000000-0005-0000-0000-0000E4190000}"/>
    <cellStyle name="Percentuale 18 3 2 2" xfId="4370" xr:uid="{00000000-0005-0000-0000-0000E5190000}"/>
    <cellStyle name="Percentuale 18 3 2 3" xfId="5389" xr:uid="{00000000-0005-0000-0000-0000E6190000}"/>
    <cellStyle name="Percentuale 18 3 3" xfId="1682" xr:uid="{00000000-0005-0000-0000-0000E7190000}"/>
    <cellStyle name="Percentuale 18 3 3 2" xfId="2991" xr:uid="{00000000-0005-0000-0000-0000E8190000}"/>
    <cellStyle name="Percentuale 18 3 4" xfId="2990" xr:uid="{00000000-0005-0000-0000-0000E9190000}"/>
    <cellStyle name="Percentuale 18 4" xfId="1683" xr:uid="{00000000-0005-0000-0000-0000EA190000}"/>
    <cellStyle name="Percentuale 18 4 2" xfId="1684" xr:uid="{00000000-0005-0000-0000-0000EB190000}"/>
    <cellStyle name="Percentuale 18 4 2 2" xfId="2993" xr:uid="{00000000-0005-0000-0000-0000EC190000}"/>
    <cellStyle name="Percentuale 18 4 3" xfId="2992" xr:uid="{00000000-0005-0000-0000-0000ED190000}"/>
    <cellStyle name="Percentuale 18 5" xfId="1685" xr:uid="{00000000-0005-0000-0000-0000EE190000}"/>
    <cellStyle name="Percentuale 19" xfId="368" xr:uid="{00000000-0005-0000-0000-0000EF190000}"/>
    <cellStyle name="Percentuale 19 2" xfId="603" xr:uid="{00000000-0005-0000-0000-0000F0190000}"/>
    <cellStyle name="Percentuale 19 2 2" xfId="2994" xr:uid="{00000000-0005-0000-0000-0000F1190000}"/>
    <cellStyle name="Percentuale 19 3" xfId="1686" xr:uid="{00000000-0005-0000-0000-0000F2190000}"/>
    <cellStyle name="Percentuale 19 3 2" xfId="1687" xr:uid="{00000000-0005-0000-0000-0000F3190000}"/>
    <cellStyle name="Percentuale 19 3 2 2" xfId="4371" xr:uid="{00000000-0005-0000-0000-0000F4190000}"/>
    <cellStyle name="Percentuale 19 3 2 3" xfId="5390" xr:uid="{00000000-0005-0000-0000-0000F5190000}"/>
    <cellStyle name="Percentuale 19 3 3" xfId="1688" xr:uid="{00000000-0005-0000-0000-0000F6190000}"/>
    <cellStyle name="Percentuale 19 3 3 2" xfId="2996" xr:uid="{00000000-0005-0000-0000-0000F7190000}"/>
    <cellStyle name="Percentuale 19 3 4" xfId="2995" xr:uid="{00000000-0005-0000-0000-0000F8190000}"/>
    <cellStyle name="Percentuale 19 4" xfId="1689" xr:uid="{00000000-0005-0000-0000-0000F9190000}"/>
    <cellStyle name="Percentuale 19 4 2" xfId="1690" xr:uid="{00000000-0005-0000-0000-0000FA190000}"/>
    <cellStyle name="Percentuale 19 4 2 2" xfId="2998" xr:uid="{00000000-0005-0000-0000-0000FB190000}"/>
    <cellStyle name="Percentuale 19 4 3" xfId="2997" xr:uid="{00000000-0005-0000-0000-0000FC190000}"/>
    <cellStyle name="Percentuale 19 5" xfId="1691" xr:uid="{00000000-0005-0000-0000-0000FD190000}"/>
    <cellStyle name="Percentuale 2" xfId="369" xr:uid="{00000000-0005-0000-0000-0000FE190000}"/>
    <cellStyle name="Percentuale 2 2" xfId="604" xr:uid="{00000000-0005-0000-0000-0000FF190000}"/>
    <cellStyle name="Percentuale 2 2 2" xfId="2999" xr:uid="{00000000-0005-0000-0000-0000001A0000}"/>
    <cellStyle name="Percentuale 2 3" xfId="1692" xr:uid="{00000000-0005-0000-0000-0000011A0000}"/>
    <cellStyle name="Percentuale 2 3 2" xfId="1693" xr:uid="{00000000-0005-0000-0000-0000021A0000}"/>
    <cellStyle name="Percentuale 2 3 2 2" xfId="4372" xr:uid="{00000000-0005-0000-0000-0000031A0000}"/>
    <cellStyle name="Percentuale 2 3 2 3" xfId="5391" xr:uid="{00000000-0005-0000-0000-0000041A0000}"/>
    <cellStyle name="Percentuale 2 3 3" xfId="1694" xr:uid="{00000000-0005-0000-0000-0000051A0000}"/>
    <cellStyle name="Percentuale 2 3 3 2" xfId="3001" xr:uid="{00000000-0005-0000-0000-0000061A0000}"/>
    <cellStyle name="Percentuale 2 3 4" xfId="3000" xr:uid="{00000000-0005-0000-0000-0000071A0000}"/>
    <cellStyle name="Percentuale 2 4" xfId="1695" xr:uid="{00000000-0005-0000-0000-0000081A0000}"/>
    <cellStyle name="Percentuale 2 4 2" xfId="1696" xr:uid="{00000000-0005-0000-0000-0000091A0000}"/>
    <cellStyle name="Percentuale 2 4 2 2" xfId="3003" xr:uid="{00000000-0005-0000-0000-00000A1A0000}"/>
    <cellStyle name="Percentuale 2 4 3" xfId="3002" xr:uid="{00000000-0005-0000-0000-00000B1A0000}"/>
    <cellStyle name="Percentuale 2 5" xfId="1697" xr:uid="{00000000-0005-0000-0000-00000C1A0000}"/>
    <cellStyle name="Percentuale 20" xfId="370" xr:uid="{00000000-0005-0000-0000-00000D1A0000}"/>
    <cellStyle name="Percentuale 20 2" xfId="605" xr:uid="{00000000-0005-0000-0000-00000E1A0000}"/>
    <cellStyle name="Percentuale 20 2 2" xfId="3004" xr:uid="{00000000-0005-0000-0000-00000F1A0000}"/>
    <cellStyle name="Percentuale 20 3" xfId="1698" xr:uid="{00000000-0005-0000-0000-0000101A0000}"/>
    <cellStyle name="Percentuale 20 3 2" xfId="1699" xr:uid="{00000000-0005-0000-0000-0000111A0000}"/>
    <cellStyle name="Percentuale 20 3 2 2" xfId="4373" xr:uid="{00000000-0005-0000-0000-0000121A0000}"/>
    <cellStyle name="Percentuale 20 3 2 3" xfId="5392" xr:uid="{00000000-0005-0000-0000-0000131A0000}"/>
    <cellStyle name="Percentuale 20 3 3" xfId="1700" xr:uid="{00000000-0005-0000-0000-0000141A0000}"/>
    <cellStyle name="Percentuale 20 3 3 2" xfId="3006" xr:uid="{00000000-0005-0000-0000-0000151A0000}"/>
    <cellStyle name="Percentuale 20 3 4" xfId="3005" xr:uid="{00000000-0005-0000-0000-0000161A0000}"/>
    <cellStyle name="Percentuale 20 4" xfId="1701" xr:uid="{00000000-0005-0000-0000-0000171A0000}"/>
    <cellStyle name="Percentuale 20 4 2" xfId="1702" xr:uid="{00000000-0005-0000-0000-0000181A0000}"/>
    <cellStyle name="Percentuale 20 4 2 2" xfId="3008" xr:uid="{00000000-0005-0000-0000-0000191A0000}"/>
    <cellStyle name="Percentuale 20 4 3" xfId="3007" xr:uid="{00000000-0005-0000-0000-00001A1A0000}"/>
    <cellStyle name="Percentuale 20 5" xfId="1703" xr:uid="{00000000-0005-0000-0000-00001B1A0000}"/>
    <cellStyle name="Percentuale 21" xfId="371" xr:uid="{00000000-0005-0000-0000-00001C1A0000}"/>
    <cellStyle name="Percentuale 21 2" xfId="606" xr:uid="{00000000-0005-0000-0000-00001D1A0000}"/>
    <cellStyle name="Percentuale 21 2 2" xfId="3009" xr:uid="{00000000-0005-0000-0000-00001E1A0000}"/>
    <cellStyle name="Percentuale 21 3" xfId="1704" xr:uid="{00000000-0005-0000-0000-00001F1A0000}"/>
    <cellStyle name="Percentuale 21 3 2" xfId="1705" xr:uid="{00000000-0005-0000-0000-0000201A0000}"/>
    <cellStyle name="Percentuale 21 3 2 2" xfId="4374" xr:uid="{00000000-0005-0000-0000-0000211A0000}"/>
    <cellStyle name="Percentuale 21 3 2 3" xfId="5393" xr:uid="{00000000-0005-0000-0000-0000221A0000}"/>
    <cellStyle name="Percentuale 21 3 3" xfId="1706" xr:uid="{00000000-0005-0000-0000-0000231A0000}"/>
    <cellStyle name="Percentuale 21 3 3 2" xfId="3011" xr:uid="{00000000-0005-0000-0000-0000241A0000}"/>
    <cellStyle name="Percentuale 21 3 4" xfId="3010" xr:uid="{00000000-0005-0000-0000-0000251A0000}"/>
    <cellStyle name="Percentuale 21 4" xfId="1707" xr:uid="{00000000-0005-0000-0000-0000261A0000}"/>
    <cellStyle name="Percentuale 21 4 2" xfId="1708" xr:uid="{00000000-0005-0000-0000-0000271A0000}"/>
    <cellStyle name="Percentuale 21 4 2 2" xfId="3013" xr:uid="{00000000-0005-0000-0000-0000281A0000}"/>
    <cellStyle name="Percentuale 21 4 3" xfId="3012" xr:uid="{00000000-0005-0000-0000-0000291A0000}"/>
    <cellStyle name="Percentuale 21 5" xfId="1709" xr:uid="{00000000-0005-0000-0000-00002A1A0000}"/>
    <cellStyle name="Percentuale 22" xfId="372" xr:uid="{00000000-0005-0000-0000-00002B1A0000}"/>
    <cellStyle name="Percentuale 22 2" xfId="607" xr:uid="{00000000-0005-0000-0000-00002C1A0000}"/>
    <cellStyle name="Percentuale 22 2 2" xfId="3014" xr:uid="{00000000-0005-0000-0000-00002D1A0000}"/>
    <cellStyle name="Percentuale 22 3" xfId="1710" xr:uid="{00000000-0005-0000-0000-00002E1A0000}"/>
    <cellStyle name="Percentuale 22 3 2" xfId="1711" xr:uid="{00000000-0005-0000-0000-00002F1A0000}"/>
    <cellStyle name="Percentuale 22 3 2 2" xfId="4375" xr:uid="{00000000-0005-0000-0000-0000301A0000}"/>
    <cellStyle name="Percentuale 22 3 2 3" xfId="5394" xr:uid="{00000000-0005-0000-0000-0000311A0000}"/>
    <cellStyle name="Percentuale 22 3 3" xfId="1712" xr:uid="{00000000-0005-0000-0000-0000321A0000}"/>
    <cellStyle name="Percentuale 22 3 3 2" xfId="3016" xr:uid="{00000000-0005-0000-0000-0000331A0000}"/>
    <cellStyle name="Percentuale 22 3 4" xfId="3015" xr:uid="{00000000-0005-0000-0000-0000341A0000}"/>
    <cellStyle name="Percentuale 22 4" xfId="1713" xr:uid="{00000000-0005-0000-0000-0000351A0000}"/>
    <cellStyle name="Percentuale 22 4 2" xfId="1714" xr:uid="{00000000-0005-0000-0000-0000361A0000}"/>
    <cellStyle name="Percentuale 22 4 2 2" xfId="3018" xr:uid="{00000000-0005-0000-0000-0000371A0000}"/>
    <cellStyle name="Percentuale 22 4 3" xfId="3017" xr:uid="{00000000-0005-0000-0000-0000381A0000}"/>
    <cellStyle name="Percentuale 22 5" xfId="1715" xr:uid="{00000000-0005-0000-0000-0000391A0000}"/>
    <cellStyle name="Percentuale 23" xfId="373" xr:uid="{00000000-0005-0000-0000-00003A1A0000}"/>
    <cellStyle name="Percentuale 23 2" xfId="608" xr:uid="{00000000-0005-0000-0000-00003B1A0000}"/>
    <cellStyle name="Percentuale 23 2 2" xfId="3019" xr:uid="{00000000-0005-0000-0000-00003C1A0000}"/>
    <cellStyle name="Percentuale 23 3" xfId="1716" xr:uid="{00000000-0005-0000-0000-00003D1A0000}"/>
    <cellStyle name="Percentuale 23 3 2" xfId="1717" xr:uid="{00000000-0005-0000-0000-00003E1A0000}"/>
    <cellStyle name="Percentuale 23 3 2 2" xfId="4376" xr:uid="{00000000-0005-0000-0000-00003F1A0000}"/>
    <cellStyle name="Percentuale 23 3 2 3" xfId="5395" xr:uid="{00000000-0005-0000-0000-0000401A0000}"/>
    <cellStyle name="Percentuale 23 3 3" xfId="1718" xr:uid="{00000000-0005-0000-0000-0000411A0000}"/>
    <cellStyle name="Percentuale 23 3 3 2" xfId="3021" xr:uid="{00000000-0005-0000-0000-0000421A0000}"/>
    <cellStyle name="Percentuale 23 3 4" xfId="3020" xr:uid="{00000000-0005-0000-0000-0000431A0000}"/>
    <cellStyle name="Percentuale 23 4" xfId="1719" xr:uid="{00000000-0005-0000-0000-0000441A0000}"/>
    <cellStyle name="Percentuale 23 4 2" xfId="1720" xr:uid="{00000000-0005-0000-0000-0000451A0000}"/>
    <cellStyle name="Percentuale 23 4 2 2" xfId="3023" xr:uid="{00000000-0005-0000-0000-0000461A0000}"/>
    <cellStyle name="Percentuale 23 4 3" xfId="3022" xr:uid="{00000000-0005-0000-0000-0000471A0000}"/>
    <cellStyle name="Percentuale 23 5" xfId="1721" xr:uid="{00000000-0005-0000-0000-0000481A0000}"/>
    <cellStyle name="Percentuale 24" xfId="374" xr:uid="{00000000-0005-0000-0000-0000491A0000}"/>
    <cellStyle name="Percentuale 24 2" xfId="609" xr:uid="{00000000-0005-0000-0000-00004A1A0000}"/>
    <cellStyle name="Percentuale 24 2 2" xfId="3024" xr:uid="{00000000-0005-0000-0000-00004B1A0000}"/>
    <cellStyle name="Percentuale 24 3" xfId="1722" xr:uid="{00000000-0005-0000-0000-00004C1A0000}"/>
    <cellStyle name="Percentuale 24 3 2" xfId="1723" xr:uid="{00000000-0005-0000-0000-00004D1A0000}"/>
    <cellStyle name="Percentuale 24 3 2 2" xfId="4377" xr:uid="{00000000-0005-0000-0000-00004E1A0000}"/>
    <cellStyle name="Percentuale 24 3 2 3" xfId="5396" xr:uid="{00000000-0005-0000-0000-00004F1A0000}"/>
    <cellStyle name="Percentuale 24 3 3" xfId="1724" xr:uid="{00000000-0005-0000-0000-0000501A0000}"/>
    <cellStyle name="Percentuale 24 3 3 2" xfId="3026" xr:uid="{00000000-0005-0000-0000-0000511A0000}"/>
    <cellStyle name="Percentuale 24 3 4" xfId="3025" xr:uid="{00000000-0005-0000-0000-0000521A0000}"/>
    <cellStyle name="Percentuale 24 4" xfId="1725" xr:uid="{00000000-0005-0000-0000-0000531A0000}"/>
    <cellStyle name="Percentuale 24 4 2" xfId="1726" xr:uid="{00000000-0005-0000-0000-0000541A0000}"/>
    <cellStyle name="Percentuale 24 4 2 2" xfId="3028" xr:uid="{00000000-0005-0000-0000-0000551A0000}"/>
    <cellStyle name="Percentuale 24 4 3" xfId="3027" xr:uid="{00000000-0005-0000-0000-0000561A0000}"/>
    <cellStyle name="Percentuale 24 5" xfId="1727" xr:uid="{00000000-0005-0000-0000-0000571A0000}"/>
    <cellStyle name="Percentuale 25" xfId="375" xr:uid="{00000000-0005-0000-0000-0000581A0000}"/>
    <cellStyle name="Percentuale 25 2" xfId="610" xr:uid="{00000000-0005-0000-0000-0000591A0000}"/>
    <cellStyle name="Percentuale 25 2 2" xfId="3029" xr:uid="{00000000-0005-0000-0000-00005A1A0000}"/>
    <cellStyle name="Percentuale 25 3" xfId="1728" xr:uid="{00000000-0005-0000-0000-00005B1A0000}"/>
    <cellStyle name="Percentuale 25 3 2" xfId="1729" xr:uid="{00000000-0005-0000-0000-00005C1A0000}"/>
    <cellStyle name="Percentuale 25 3 2 2" xfId="4378" xr:uid="{00000000-0005-0000-0000-00005D1A0000}"/>
    <cellStyle name="Percentuale 25 3 2 3" xfId="5397" xr:uid="{00000000-0005-0000-0000-00005E1A0000}"/>
    <cellStyle name="Percentuale 25 3 3" xfId="1730" xr:uid="{00000000-0005-0000-0000-00005F1A0000}"/>
    <cellStyle name="Percentuale 25 3 3 2" xfId="3031" xr:uid="{00000000-0005-0000-0000-0000601A0000}"/>
    <cellStyle name="Percentuale 25 3 4" xfId="3030" xr:uid="{00000000-0005-0000-0000-0000611A0000}"/>
    <cellStyle name="Percentuale 25 4" xfId="1731" xr:uid="{00000000-0005-0000-0000-0000621A0000}"/>
    <cellStyle name="Percentuale 25 4 2" xfId="1732" xr:uid="{00000000-0005-0000-0000-0000631A0000}"/>
    <cellStyle name="Percentuale 25 4 2 2" xfId="3033" xr:uid="{00000000-0005-0000-0000-0000641A0000}"/>
    <cellStyle name="Percentuale 25 4 3" xfId="3032" xr:uid="{00000000-0005-0000-0000-0000651A0000}"/>
    <cellStyle name="Percentuale 25 5" xfId="1733" xr:uid="{00000000-0005-0000-0000-0000661A0000}"/>
    <cellStyle name="Percentuale 26" xfId="376" xr:uid="{00000000-0005-0000-0000-0000671A0000}"/>
    <cellStyle name="Percentuale 26 2" xfId="611" xr:uid="{00000000-0005-0000-0000-0000681A0000}"/>
    <cellStyle name="Percentuale 26 2 2" xfId="3034" xr:uid="{00000000-0005-0000-0000-0000691A0000}"/>
    <cellStyle name="Percentuale 26 3" xfId="1734" xr:uid="{00000000-0005-0000-0000-00006A1A0000}"/>
    <cellStyle name="Percentuale 26 3 2" xfId="1735" xr:uid="{00000000-0005-0000-0000-00006B1A0000}"/>
    <cellStyle name="Percentuale 26 3 2 2" xfId="4379" xr:uid="{00000000-0005-0000-0000-00006C1A0000}"/>
    <cellStyle name="Percentuale 26 3 2 3" xfId="5398" xr:uid="{00000000-0005-0000-0000-00006D1A0000}"/>
    <cellStyle name="Percentuale 26 3 3" xfId="1736" xr:uid="{00000000-0005-0000-0000-00006E1A0000}"/>
    <cellStyle name="Percentuale 26 3 3 2" xfId="3036" xr:uid="{00000000-0005-0000-0000-00006F1A0000}"/>
    <cellStyle name="Percentuale 26 3 4" xfId="3035" xr:uid="{00000000-0005-0000-0000-0000701A0000}"/>
    <cellStyle name="Percentuale 26 4" xfId="1737" xr:uid="{00000000-0005-0000-0000-0000711A0000}"/>
    <cellStyle name="Percentuale 26 4 2" xfId="1738" xr:uid="{00000000-0005-0000-0000-0000721A0000}"/>
    <cellStyle name="Percentuale 26 4 2 2" xfId="3038" xr:uid="{00000000-0005-0000-0000-0000731A0000}"/>
    <cellStyle name="Percentuale 26 4 3" xfId="3037" xr:uid="{00000000-0005-0000-0000-0000741A0000}"/>
    <cellStyle name="Percentuale 26 5" xfId="1739" xr:uid="{00000000-0005-0000-0000-0000751A0000}"/>
    <cellStyle name="Percentuale 27" xfId="377" xr:uid="{00000000-0005-0000-0000-0000761A0000}"/>
    <cellStyle name="Percentuale 27 2" xfId="612" xr:uid="{00000000-0005-0000-0000-0000771A0000}"/>
    <cellStyle name="Percentuale 27 2 2" xfId="3039" xr:uid="{00000000-0005-0000-0000-0000781A0000}"/>
    <cellStyle name="Percentuale 27 3" xfId="1740" xr:uid="{00000000-0005-0000-0000-0000791A0000}"/>
    <cellStyle name="Percentuale 27 3 2" xfId="1741" xr:uid="{00000000-0005-0000-0000-00007A1A0000}"/>
    <cellStyle name="Percentuale 27 3 2 2" xfId="4380" xr:uid="{00000000-0005-0000-0000-00007B1A0000}"/>
    <cellStyle name="Percentuale 27 3 2 3" xfId="5399" xr:uid="{00000000-0005-0000-0000-00007C1A0000}"/>
    <cellStyle name="Percentuale 27 3 3" xfId="1742" xr:uid="{00000000-0005-0000-0000-00007D1A0000}"/>
    <cellStyle name="Percentuale 27 3 3 2" xfId="3041" xr:uid="{00000000-0005-0000-0000-00007E1A0000}"/>
    <cellStyle name="Percentuale 27 3 4" xfId="3040" xr:uid="{00000000-0005-0000-0000-00007F1A0000}"/>
    <cellStyle name="Percentuale 27 4" xfId="1743" xr:uid="{00000000-0005-0000-0000-0000801A0000}"/>
    <cellStyle name="Percentuale 27 4 2" xfId="1744" xr:uid="{00000000-0005-0000-0000-0000811A0000}"/>
    <cellStyle name="Percentuale 27 4 2 2" xfId="3043" xr:uid="{00000000-0005-0000-0000-0000821A0000}"/>
    <cellStyle name="Percentuale 27 4 3" xfId="3042" xr:uid="{00000000-0005-0000-0000-0000831A0000}"/>
    <cellStyle name="Percentuale 27 5" xfId="1745" xr:uid="{00000000-0005-0000-0000-0000841A0000}"/>
    <cellStyle name="Percentuale 28" xfId="378" xr:uid="{00000000-0005-0000-0000-0000851A0000}"/>
    <cellStyle name="Percentuale 28 2" xfId="613" xr:uid="{00000000-0005-0000-0000-0000861A0000}"/>
    <cellStyle name="Percentuale 28 2 2" xfId="3044" xr:uid="{00000000-0005-0000-0000-0000871A0000}"/>
    <cellStyle name="Percentuale 28 3" xfId="1746" xr:uid="{00000000-0005-0000-0000-0000881A0000}"/>
    <cellStyle name="Percentuale 28 3 2" xfId="1747" xr:uid="{00000000-0005-0000-0000-0000891A0000}"/>
    <cellStyle name="Percentuale 28 3 2 2" xfId="4381" xr:uid="{00000000-0005-0000-0000-00008A1A0000}"/>
    <cellStyle name="Percentuale 28 3 2 3" xfId="5400" xr:uid="{00000000-0005-0000-0000-00008B1A0000}"/>
    <cellStyle name="Percentuale 28 3 3" xfId="1748" xr:uid="{00000000-0005-0000-0000-00008C1A0000}"/>
    <cellStyle name="Percentuale 28 3 3 2" xfId="3046" xr:uid="{00000000-0005-0000-0000-00008D1A0000}"/>
    <cellStyle name="Percentuale 28 3 4" xfId="3045" xr:uid="{00000000-0005-0000-0000-00008E1A0000}"/>
    <cellStyle name="Percentuale 28 4" xfId="1749" xr:uid="{00000000-0005-0000-0000-00008F1A0000}"/>
    <cellStyle name="Percentuale 28 4 2" xfId="1750" xr:uid="{00000000-0005-0000-0000-0000901A0000}"/>
    <cellStyle name="Percentuale 28 4 2 2" xfId="3048" xr:uid="{00000000-0005-0000-0000-0000911A0000}"/>
    <cellStyle name="Percentuale 28 4 3" xfId="3047" xr:uid="{00000000-0005-0000-0000-0000921A0000}"/>
    <cellStyle name="Percentuale 28 5" xfId="1751" xr:uid="{00000000-0005-0000-0000-0000931A0000}"/>
    <cellStyle name="Percentuale 29" xfId="379" xr:uid="{00000000-0005-0000-0000-0000941A0000}"/>
    <cellStyle name="Percentuale 29 2" xfId="614" xr:uid="{00000000-0005-0000-0000-0000951A0000}"/>
    <cellStyle name="Percentuale 29 2 2" xfId="3049" xr:uid="{00000000-0005-0000-0000-0000961A0000}"/>
    <cellStyle name="Percentuale 29 3" xfId="1752" xr:uid="{00000000-0005-0000-0000-0000971A0000}"/>
    <cellStyle name="Percentuale 29 3 2" xfId="1753" xr:uid="{00000000-0005-0000-0000-0000981A0000}"/>
    <cellStyle name="Percentuale 29 3 2 2" xfId="4382" xr:uid="{00000000-0005-0000-0000-0000991A0000}"/>
    <cellStyle name="Percentuale 29 3 2 3" xfId="5401" xr:uid="{00000000-0005-0000-0000-00009A1A0000}"/>
    <cellStyle name="Percentuale 29 3 3" xfId="1754" xr:uid="{00000000-0005-0000-0000-00009B1A0000}"/>
    <cellStyle name="Percentuale 29 3 3 2" xfId="3051" xr:uid="{00000000-0005-0000-0000-00009C1A0000}"/>
    <cellStyle name="Percentuale 29 3 4" xfId="3050" xr:uid="{00000000-0005-0000-0000-00009D1A0000}"/>
    <cellStyle name="Percentuale 29 4" xfId="1755" xr:uid="{00000000-0005-0000-0000-00009E1A0000}"/>
    <cellStyle name="Percentuale 29 4 2" xfId="1756" xr:uid="{00000000-0005-0000-0000-00009F1A0000}"/>
    <cellStyle name="Percentuale 29 4 2 2" xfId="3053" xr:uid="{00000000-0005-0000-0000-0000A01A0000}"/>
    <cellStyle name="Percentuale 29 4 3" xfId="3052" xr:uid="{00000000-0005-0000-0000-0000A11A0000}"/>
    <cellStyle name="Percentuale 29 5" xfId="1757" xr:uid="{00000000-0005-0000-0000-0000A21A0000}"/>
    <cellStyle name="Percentuale 3" xfId="380" xr:uid="{00000000-0005-0000-0000-0000A31A0000}"/>
    <cellStyle name="Percentuale 3 2" xfId="615" xr:uid="{00000000-0005-0000-0000-0000A41A0000}"/>
    <cellStyle name="Percentuale 3 2 2" xfId="3054" xr:uid="{00000000-0005-0000-0000-0000A51A0000}"/>
    <cellStyle name="Percentuale 3 3" xfId="1758" xr:uid="{00000000-0005-0000-0000-0000A61A0000}"/>
    <cellStyle name="Percentuale 3 3 2" xfId="1759" xr:uid="{00000000-0005-0000-0000-0000A71A0000}"/>
    <cellStyle name="Percentuale 3 3 2 2" xfId="4383" xr:uid="{00000000-0005-0000-0000-0000A81A0000}"/>
    <cellStyle name="Percentuale 3 3 2 3" xfId="5402" xr:uid="{00000000-0005-0000-0000-0000A91A0000}"/>
    <cellStyle name="Percentuale 3 3 3" xfId="1760" xr:uid="{00000000-0005-0000-0000-0000AA1A0000}"/>
    <cellStyle name="Percentuale 3 3 3 2" xfId="3056" xr:uid="{00000000-0005-0000-0000-0000AB1A0000}"/>
    <cellStyle name="Percentuale 3 3 4" xfId="3055" xr:uid="{00000000-0005-0000-0000-0000AC1A0000}"/>
    <cellStyle name="Percentuale 3 4" xfId="1761" xr:uid="{00000000-0005-0000-0000-0000AD1A0000}"/>
    <cellStyle name="Percentuale 3 4 2" xfId="1762" xr:uid="{00000000-0005-0000-0000-0000AE1A0000}"/>
    <cellStyle name="Percentuale 3 4 2 2" xfId="3058" xr:uid="{00000000-0005-0000-0000-0000AF1A0000}"/>
    <cellStyle name="Percentuale 3 4 3" xfId="3057" xr:uid="{00000000-0005-0000-0000-0000B01A0000}"/>
    <cellStyle name="Percentuale 3 5" xfId="1763" xr:uid="{00000000-0005-0000-0000-0000B11A0000}"/>
    <cellStyle name="Percentuale 30" xfId="381" xr:uid="{00000000-0005-0000-0000-0000B21A0000}"/>
    <cellStyle name="Percentuale 30 2" xfId="616" xr:uid="{00000000-0005-0000-0000-0000B31A0000}"/>
    <cellStyle name="Percentuale 30 2 2" xfId="3059" xr:uid="{00000000-0005-0000-0000-0000B41A0000}"/>
    <cellStyle name="Percentuale 30 3" xfId="1764" xr:uid="{00000000-0005-0000-0000-0000B51A0000}"/>
    <cellStyle name="Percentuale 30 3 2" xfId="1765" xr:uid="{00000000-0005-0000-0000-0000B61A0000}"/>
    <cellStyle name="Percentuale 30 3 2 2" xfId="4384" xr:uid="{00000000-0005-0000-0000-0000B71A0000}"/>
    <cellStyle name="Percentuale 30 3 2 3" xfId="5403" xr:uid="{00000000-0005-0000-0000-0000B81A0000}"/>
    <cellStyle name="Percentuale 30 3 3" xfId="1766" xr:uid="{00000000-0005-0000-0000-0000B91A0000}"/>
    <cellStyle name="Percentuale 30 3 3 2" xfId="3061" xr:uid="{00000000-0005-0000-0000-0000BA1A0000}"/>
    <cellStyle name="Percentuale 30 3 4" xfId="3060" xr:uid="{00000000-0005-0000-0000-0000BB1A0000}"/>
    <cellStyle name="Percentuale 30 4" xfId="1767" xr:uid="{00000000-0005-0000-0000-0000BC1A0000}"/>
    <cellStyle name="Percentuale 30 4 2" xfId="1768" xr:uid="{00000000-0005-0000-0000-0000BD1A0000}"/>
    <cellStyle name="Percentuale 30 4 2 2" xfId="3063" xr:uid="{00000000-0005-0000-0000-0000BE1A0000}"/>
    <cellStyle name="Percentuale 30 4 3" xfId="3062" xr:uid="{00000000-0005-0000-0000-0000BF1A0000}"/>
    <cellStyle name="Percentuale 30 5" xfId="1769" xr:uid="{00000000-0005-0000-0000-0000C01A0000}"/>
    <cellStyle name="Percentuale 31" xfId="382" xr:uid="{00000000-0005-0000-0000-0000C11A0000}"/>
    <cellStyle name="Percentuale 31 2" xfId="617" xr:uid="{00000000-0005-0000-0000-0000C21A0000}"/>
    <cellStyle name="Percentuale 31 2 2" xfId="3064" xr:uid="{00000000-0005-0000-0000-0000C31A0000}"/>
    <cellStyle name="Percentuale 31 3" xfId="1770" xr:uid="{00000000-0005-0000-0000-0000C41A0000}"/>
    <cellStyle name="Percentuale 31 3 2" xfId="1771" xr:uid="{00000000-0005-0000-0000-0000C51A0000}"/>
    <cellStyle name="Percentuale 31 3 2 2" xfId="4385" xr:uid="{00000000-0005-0000-0000-0000C61A0000}"/>
    <cellStyle name="Percentuale 31 3 2 3" xfId="5404" xr:uid="{00000000-0005-0000-0000-0000C71A0000}"/>
    <cellStyle name="Percentuale 31 3 3" xfId="1772" xr:uid="{00000000-0005-0000-0000-0000C81A0000}"/>
    <cellStyle name="Percentuale 31 3 3 2" xfId="3066" xr:uid="{00000000-0005-0000-0000-0000C91A0000}"/>
    <cellStyle name="Percentuale 31 3 4" xfId="3065" xr:uid="{00000000-0005-0000-0000-0000CA1A0000}"/>
    <cellStyle name="Percentuale 31 4" xfId="1773" xr:uid="{00000000-0005-0000-0000-0000CB1A0000}"/>
    <cellStyle name="Percentuale 31 4 2" xfId="1774" xr:uid="{00000000-0005-0000-0000-0000CC1A0000}"/>
    <cellStyle name="Percentuale 31 4 2 2" xfId="3068" xr:uid="{00000000-0005-0000-0000-0000CD1A0000}"/>
    <cellStyle name="Percentuale 31 4 3" xfId="3067" xr:uid="{00000000-0005-0000-0000-0000CE1A0000}"/>
    <cellStyle name="Percentuale 31 5" xfId="1775" xr:uid="{00000000-0005-0000-0000-0000CF1A0000}"/>
    <cellStyle name="Percentuale 32" xfId="383" xr:uid="{00000000-0005-0000-0000-0000D01A0000}"/>
    <cellStyle name="Percentuale 32 2" xfId="618" xr:uid="{00000000-0005-0000-0000-0000D11A0000}"/>
    <cellStyle name="Percentuale 32 2 2" xfId="3069" xr:uid="{00000000-0005-0000-0000-0000D21A0000}"/>
    <cellStyle name="Percentuale 32 3" xfId="1776" xr:uid="{00000000-0005-0000-0000-0000D31A0000}"/>
    <cellStyle name="Percentuale 32 3 2" xfId="1777" xr:uid="{00000000-0005-0000-0000-0000D41A0000}"/>
    <cellStyle name="Percentuale 32 3 2 2" xfId="4386" xr:uid="{00000000-0005-0000-0000-0000D51A0000}"/>
    <cellStyle name="Percentuale 32 3 2 3" xfId="5405" xr:uid="{00000000-0005-0000-0000-0000D61A0000}"/>
    <cellStyle name="Percentuale 32 3 3" xfId="1778" xr:uid="{00000000-0005-0000-0000-0000D71A0000}"/>
    <cellStyle name="Percentuale 32 3 3 2" xfId="3071" xr:uid="{00000000-0005-0000-0000-0000D81A0000}"/>
    <cellStyle name="Percentuale 32 3 4" xfId="3070" xr:uid="{00000000-0005-0000-0000-0000D91A0000}"/>
    <cellStyle name="Percentuale 32 4" xfId="1779" xr:uid="{00000000-0005-0000-0000-0000DA1A0000}"/>
    <cellStyle name="Percentuale 32 4 2" xfId="1780" xr:uid="{00000000-0005-0000-0000-0000DB1A0000}"/>
    <cellStyle name="Percentuale 32 4 2 2" xfId="3073" xr:uid="{00000000-0005-0000-0000-0000DC1A0000}"/>
    <cellStyle name="Percentuale 32 4 3" xfId="3072" xr:uid="{00000000-0005-0000-0000-0000DD1A0000}"/>
    <cellStyle name="Percentuale 32 5" xfId="1781" xr:uid="{00000000-0005-0000-0000-0000DE1A0000}"/>
    <cellStyle name="Percentuale 33" xfId="384" xr:uid="{00000000-0005-0000-0000-0000DF1A0000}"/>
    <cellStyle name="Percentuale 33 2" xfId="619" xr:uid="{00000000-0005-0000-0000-0000E01A0000}"/>
    <cellStyle name="Percentuale 33 2 2" xfId="3074" xr:uid="{00000000-0005-0000-0000-0000E11A0000}"/>
    <cellStyle name="Percentuale 33 3" xfId="1782" xr:uid="{00000000-0005-0000-0000-0000E21A0000}"/>
    <cellStyle name="Percentuale 33 3 2" xfId="1783" xr:uid="{00000000-0005-0000-0000-0000E31A0000}"/>
    <cellStyle name="Percentuale 33 3 2 2" xfId="4387" xr:uid="{00000000-0005-0000-0000-0000E41A0000}"/>
    <cellStyle name="Percentuale 33 3 2 3" xfId="5406" xr:uid="{00000000-0005-0000-0000-0000E51A0000}"/>
    <cellStyle name="Percentuale 33 3 3" xfId="1784" xr:uid="{00000000-0005-0000-0000-0000E61A0000}"/>
    <cellStyle name="Percentuale 33 3 3 2" xfId="3076" xr:uid="{00000000-0005-0000-0000-0000E71A0000}"/>
    <cellStyle name="Percentuale 33 3 4" xfId="3075" xr:uid="{00000000-0005-0000-0000-0000E81A0000}"/>
    <cellStyle name="Percentuale 33 4" xfId="1785" xr:uid="{00000000-0005-0000-0000-0000E91A0000}"/>
    <cellStyle name="Percentuale 33 4 2" xfId="1786" xr:uid="{00000000-0005-0000-0000-0000EA1A0000}"/>
    <cellStyle name="Percentuale 33 4 2 2" xfId="3078" xr:uid="{00000000-0005-0000-0000-0000EB1A0000}"/>
    <cellStyle name="Percentuale 33 4 3" xfId="3077" xr:uid="{00000000-0005-0000-0000-0000EC1A0000}"/>
    <cellStyle name="Percentuale 33 5" xfId="1787" xr:uid="{00000000-0005-0000-0000-0000ED1A0000}"/>
    <cellStyle name="Percentuale 34" xfId="385" xr:uid="{00000000-0005-0000-0000-0000EE1A0000}"/>
    <cellStyle name="Percentuale 34 2" xfId="620" xr:uid="{00000000-0005-0000-0000-0000EF1A0000}"/>
    <cellStyle name="Percentuale 34 2 2" xfId="3079" xr:uid="{00000000-0005-0000-0000-0000F01A0000}"/>
    <cellStyle name="Percentuale 34 3" xfId="1788" xr:uid="{00000000-0005-0000-0000-0000F11A0000}"/>
    <cellStyle name="Percentuale 34 3 2" xfId="1789" xr:uid="{00000000-0005-0000-0000-0000F21A0000}"/>
    <cellStyle name="Percentuale 34 3 2 2" xfId="4388" xr:uid="{00000000-0005-0000-0000-0000F31A0000}"/>
    <cellStyle name="Percentuale 34 3 2 3" xfId="5407" xr:uid="{00000000-0005-0000-0000-0000F41A0000}"/>
    <cellStyle name="Percentuale 34 3 3" xfId="1790" xr:uid="{00000000-0005-0000-0000-0000F51A0000}"/>
    <cellStyle name="Percentuale 34 3 3 2" xfId="3081" xr:uid="{00000000-0005-0000-0000-0000F61A0000}"/>
    <cellStyle name="Percentuale 34 3 4" xfId="3080" xr:uid="{00000000-0005-0000-0000-0000F71A0000}"/>
    <cellStyle name="Percentuale 34 4" xfId="1791" xr:uid="{00000000-0005-0000-0000-0000F81A0000}"/>
    <cellStyle name="Percentuale 34 4 2" xfId="1792" xr:uid="{00000000-0005-0000-0000-0000F91A0000}"/>
    <cellStyle name="Percentuale 34 4 2 2" xfId="3083" xr:uid="{00000000-0005-0000-0000-0000FA1A0000}"/>
    <cellStyle name="Percentuale 34 4 3" xfId="3082" xr:uid="{00000000-0005-0000-0000-0000FB1A0000}"/>
    <cellStyle name="Percentuale 34 5" xfId="1793" xr:uid="{00000000-0005-0000-0000-0000FC1A0000}"/>
    <cellStyle name="Percentuale 35" xfId="386" xr:uid="{00000000-0005-0000-0000-0000FD1A0000}"/>
    <cellStyle name="Percentuale 35 2" xfId="621" xr:uid="{00000000-0005-0000-0000-0000FE1A0000}"/>
    <cellStyle name="Percentuale 35 2 2" xfId="3084" xr:uid="{00000000-0005-0000-0000-0000FF1A0000}"/>
    <cellStyle name="Percentuale 35 3" xfId="1794" xr:uid="{00000000-0005-0000-0000-0000001B0000}"/>
    <cellStyle name="Percentuale 35 3 2" xfId="1795" xr:uid="{00000000-0005-0000-0000-0000011B0000}"/>
    <cellStyle name="Percentuale 35 3 2 2" xfId="4389" xr:uid="{00000000-0005-0000-0000-0000021B0000}"/>
    <cellStyle name="Percentuale 35 3 2 3" xfId="5408" xr:uid="{00000000-0005-0000-0000-0000031B0000}"/>
    <cellStyle name="Percentuale 35 3 3" xfId="1796" xr:uid="{00000000-0005-0000-0000-0000041B0000}"/>
    <cellStyle name="Percentuale 35 3 3 2" xfId="3086" xr:uid="{00000000-0005-0000-0000-0000051B0000}"/>
    <cellStyle name="Percentuale 35 3 4" xfId="3085" xr:uid="{00000000-0005-0000-0000-0000061B0000}"/>
    <cellStyle name="Percentuale 35 4" xfId="1797" xr:uid="{00000000-0005-0000-0000-0000071B0000}"/>
    <cellStyle name="Percentuale 35 4 2" xfId="1798" xr:uid="{00000000-0005-0000-0000-0000081B0000}"/>
    <cellStyle name="Percentuale 35 4 2 2" xfId="3088" xr:uid="{00000000-0005-0000-0000-0000091B0000}"/>
    <cellStyle name="Percentuale 35 4 3" xfId="3087" xr:uid="{00000000-0005-0000-0000-00000A1B0000}"/>
    <cellStyle name="Percentuale 35 5" xfId="1799" xr:uid="{00000000-0005-0000-0000-00000B1B0000}"/>
    <cellStyle name="Percentuale 36" xfId="387" xr:uid="{00000000-0005-0000-0000-00000C1B0000}"/>
    <cellStyle name="Percentuale 36 2" xfId="622" xr:uid="{00000000-0005-0000-0000-00000D1B0000}"/>
    <cellStyle name="Percentuale 36 2 2" xfId="3089" xr:uid="{00000000-0005-0000-0000-00000E1B0000}"/>
    <cellStyle name="Percentuale 36 3" xfId="1800" xr:uid="{00000000-0005-0000-0000-00000F1B0000}"/>
    <cellStyle name="Percentuale 36 3 2" xfId="1801" xr:uid="{00000000-0005-0000-0000-0000101B0000}"/>
    <cellStyle name="Percentuale 36 3 2 2" xfId="4390" xr:uid="{00000000-0005-0000-0000-0000111B0000}"/>
    <cellStyle name="Percentuale 36 3 2 3" xfId="5409" xr:uid="{00000000-0005-0000-0000-0000121B0000}"/>
    <cellStyle name="Percentuale 36 3 3" xfId="1802" xr:uid="{00000000-0005-0000-0000-0000131B0000}"/>
    <cellStyle name="Percentuale 36 3 3 2" xfId="3091" xr:uid="{00000000-0005-0000-0000-0000141B0000}"/>
    <cellStyle name="Percentuale 36 3 4" xfId="3090" xr:uid="{00000000-0005-0000-0000-0000151B0000}"/>
    <cellStyle name="Percentuale 36 4" xfId="1803" xr:uid="{00000000-0005-0000-0000-0000161B0000}"/>
    <cellStyle name="Percentuale 36 4 2" xfId="1804" xr:uid="{00000000-0005-0000-0000-0000171B0000}"/>
    <cellStyle name="Percentuale 36 4 2 2" xfId="3093" xr:uid="{00000000-0005-0000-0000-0000181B0000}"/>
    <cellStyle name="Percentuale 36 4 3" xfId="3092" xr:uid="{00000000-0005-0000-0000-0000191B0000}"/>
    <cellStyle name="Percentuale 36 5" xfId="1805" xr:uid="{00000000-0005-0000-0000-00001A1B0000}"/>
    <cellStyle name="Percentuale 37" xfId="388" xr:uid="{00000000-0005-0000-0000-00001B1B0000}"/>
    <cellStyle name="Percentuale 37 2" xfId="623" xr:uid="{00000000-0005-0000-0000-00001C1B0000}"/>
    <cellStyle name="Percentuale 37 2 2" xfId="3094" xr:uid="{00000000-0005-0000-0000-00001D1B0000}"/>
    <cellStyle name="Percentuale 37 3" xfId="1806" xr:uid="{00000000-0005-0000-0000-00001E1B0000}"/>
    <cellStyle name="Percentuale 37 3 2" xfId="1807" xr:uid="{00000000-0005-0000-0000-00001F1B0000}"/>
    <cellStyle name="Percentuale 37 3 2 2" xfId="4391" xr:uid="{00000000-0005-0000-0000-0000201B0000}"/>
    <cellStyle name="Percentuale 37 3 2 3" xfId="5410" xr:uid="{00000000-0005-0000-0000-0000211B0000}"/>
    <cellStyle name="Percentuale 37 3 3" xfId="1808" xr:uid="{00000000-0005-0000-0000-0000221B0000}"/>
    <cellStyle name="Percentuale 37 3 3 2" xfId="3096" xr:uid="{00000000-0005-0000-0000-0000231B0000}"/>
    <cellStyle name="Percentuale 37 3 4" xfId="3095" xr:uid="{00000000-0005-0000-0000-0000241B0000}"/>
    <cellStyle name="Percentuale 37 4" xfId="1809" xr:uid="{00000000-0005-0000-0000-0000251B0000}"/>
    <cellStyle name="Percentuale 37 4 2" xfId="1810" xr:uid="{00000000-0005-0000-0000-0000261B0000}"/>
    <cellStyle name="Percentuale 37 4 2 2" xfId="3098" xr:uid="{00000000-0005-0000-0000-0000271B0000}"/>
    <cellStyle name="Percentuale 37 4 3" xfId="3097" xr:uid="{00000000-0005-0000-0000-0000281B0000}"/>
    <cellStyle name="Percentuale 37 5" xfId="1811" xr:uid="{00000000-0005-0000-0000-0000291B0000}"/>
    <cellStyle name="Percentuale 38" xfId="389" xr:uid="{00000000-0005-0000-0000-00002A1B0000}"/>
    <cellStyle name="Percentuale 38 2" xfId="624" xr:uid="{00000000-0005-0000-0000-00002B1B0000}"/>
    <cellStyle name="Percentuale 38 2 2" xfId="3099" xr:uid="{00000000-0005-0000-0000-00002C1B0000}"/>
    <cellStyle name="Percentuale 38 3" xfId="1812" xr:uid="{00000000-0005-0000-0000-00002D1B0000}"/>
    <cellStyle name="Percentuale 38 3 2" xfId="1813" xr:uid="{00000000-0005-0000-0000-00002E1B0000}"/>
    <cellStyle name="Percentuale 38 3 2 2" xfId="4392" xr:uid="{00000000-0005-0000-0000-00002F1B0000}"/>
    <cellStyle name="Percentuale 38 3 2 3" xfId="5411" xr:uid="{00000000-0005-0000-0000-0000301B0000}"/>
    <cellStyle name="Percentuale 38 3 3" xfId="1814" xr:uid="{00000000-0005-0000-0000-0000311B0000}"/>
    <cellStyle name="Percentuale 38 3 3 2" xfId="3101" xr:uid="{00000000-0005-0000-0000-0000321B0000}"/>
    <cellStyle name="Percentuale 38 3 4" xfId="3100" xr:uid="{00000000-0005-0000-0000-0000331B0000}"/>
    <cellStyle name="Percentuale 38 4" xfId="1815" xr:uid="{00000000-0005-0000-0000-0000341B0000}"/>
    <cellStyle name="Percentuale 38 4 2" xfId="1816" xr:uid="{00000000-0005-0000-0000-0000351B0000}"/>
    <cellStyle name="Percentuale 38 4 2 2" xfId="3103" xr:uid="{00000000-0005-0000-0000-0000361B0000}"/>
    <cellStyle name="Percentuale 38 4 3" xfId="3102" xr:uid="{00000000-0005-0000-0000-0000371B0000}"/>
    <cellStyle name="Percentuale 38 5" xfId="1817" xr:uid="{00000000-0005-0000-0000-0000381B0000}"/>
    <cellStyle name="Percentuale 39" xfId="390" xr:uid="{00000000-0005-0000-0000-0000391B0000}"/>
    <cellStyle name="Percentuale 39 2" xfId="625" xr:uid="{00000000-0005-0000-0000-00003A1B0000}"/>
    <cellStyle name="Percentuale 39 2 2" xfId="3104" xr:uid="{00000000-0005-0000-0000-00003B1B0000}"/>
    <cellStyle name="Percentuale 39 3" xfId="1818" xr:uid="{00000000-0005-0000-0000-00003C1B0000}"/>
    <cellStyle name="Percentuale 39 3 2" xfId="1819" xr:uid="{00000000-0005-0000-0000-00003D1B0000}"/>
    <cellStyle name="Percentuale 39 3 2 2" xfId="4393" xr:uid="{00000000-0005-0000-0000-00003E1B0000}"/>
    <cellStyle name="Percentuale 39 3 2 3" xfId="5412" xr:uid="{00000000-0005-0000-0000-00003F1B0000}"/>
    <cellStyle name="Percentuale 39 3 3" xfId="1820" xr:uid="{00000000-0005-0000-0000-0000401B0000}"/>
    <cellStyle name="Percentuale 39 3 3 2" xfId="3106" xr:uid="{00000000-0005-0000-0000-0000411B0000}"/>
    <cellStyle name="Percentuale 39 3 4" xfId="3105" xr:uid="{00000000-0005-0000-0000-0000421B0000}"/>
    <cellStyle name="Percentuale 39 4" xfId="1821" xr:uid="{00000000-0005-0000-0000-0000431B0000}"/>
    <cellStyle name="Percentuale 39 4 2" xfId="1822" xr:uid="{00000000-0005-0000-0000-0000441B0000}"/>
    <cellStyle name="Percentuale 39 4 2 2" xfId="3108" xr:uid="{00000000-0005-0000-0000-0000451B0000}"/>
    <cellStyle name="Percentuale 39 4 3" xfId="3107" xr:uid="{00000000-0005-0000-0000-0000461B0000}"/>
    <cellStyle name="Percentuale 39 5" xfId="1823" xr:uid="{00000000-0005-0000-0000-0000471B0000}"/>
    <cellStyle name="Percentuale 4" xfId="391" xr:uid="{00000000-0005-0000-0000-0000481B0000}"/>
    <cellStyle name="Percentuale 4 2" xfId="626" xr:uid="{00000000-0005-0000-0000-0000491B0000}"/>
    <cellStyle name="Percentuale 4 2 2" xfId="3109" xr:uid="{00000000-0005-0000-0000-00004A1B0000}"/>
    <cellStyle name="Percentuale 4 3" xfId="1824" xr:uid="{00000000-0005-0000-0000-00004B1B0000}"/>
    <cellStyle name="Percentuale 4 3 2" xfId="1825" xr:uid="{00000000-0005-0000-0000-00004C1B0000}"/>
    <cellStyle name="Percentuale 4 3 2 2" xfId="4394" xr:uid="{00000000-0005-0000-0000-00004D1B0000}"/>
    <cellStyle name="Percentuale 4 3 2 3" xfId="5413" xr:uid="{00000000-0005-0000-0000-00004E1B0000}"/>
    <cellStyle name="Percentuale 4 3 3" xfId="1826" xr:uid="{00000000-0005-0000-0000-00004F1B0000}"/>
    <cellStyle name="Percentuale 4 3 3 2" xfId="3111" xr:uid="{00000000-0005-0000-0000-0000501B0000}"/>
    <cellStyle name="Percentuale 4 3 4" xfId="3110" xr:uid="{00000000-0005-0000-0000-0000511B0000}"/>
    <cellStyle name="Percentuale 4 4" xfId="1827" xr:uid="{00000000-0005-0000-0000-0000521B0000}"/>
    <cellStyle name="Percentuale 4 4 2" xfId="1828" xr:uid="{00000000-0005-0000-0000-0000531B0000}"/>
    <cellStyle name="Percentuale 4 4 2 2" xfId="3113" xr:uid="{00000000-0005-0000-0000-0000541B0000}"/>
    <cellStyle name="Percentuale 4 4 3" xfId="3112" xr:uid="{00000000-0005-0000-0000-0000551B0000}"/>
    <cellStyle name="Percentuale 4 5" xfId="1829" xr:uid="{00000000-0005-0000-0000-0000561B0000}"/>
    <cellStyle name="Percentuale 40" xfId="392" xr:uid="{00000000-0005-0000-0000-0000571B0000}"/>
    <cellStyle name="Percentuale 40 2" xfId="627" xr:uid="{00000000-0005-0000-0000-0000581B0000}"/>
    <cellStyle name="Percentuale 40 2 2" xfId="3114" xr:uid="{00000000-0005-0000-0000-0000591B0000}"/>
    <cellStyle name="Percentuale 40 3" xfId="1830" xr:uid="{00000000-0005-0000-0000-00005A1B0000}"/>
    <cellStyle name="Percentuale 40 3 2" xfId="1831" xr:uid="{00000000-0005-0000-0000-00005B1B0000}"/>
    <cellStyle name="Percentuale 40 3 2 2" xfId="4395" xr:uid="{00000000-0005-0000-0000-00005C1B0000}"/>
    <cellStyle name="Percentuale 40 3 2 3" xfId="5414" xr:uid="{00000000-0005-0000-0000-00005D1B0000}"/>
    <cellStyle name="Percentuale 40 3 3" xfId="1832" xr:uid="{00000000-0005-0000-0000-00005E1B0000}"/>
    <cellStyle name="Percentuale 40 3 3 2" xfId="3116" xr:uid="{00000000-0005-0000-0000-00005F1B0000}"/>
    <cellStyle name="Percentuale 40 3 4" xfId="3115" xr:uid="{00000000-0005-0000-0000-0000601B0000}"/>
    <cellStyle name="Percentuale 40 4" xfId="1833" xr:uid="{00000000-0005-0000-0000-0000611B0000}"/>
    <cellStyle name="Percentuale 40 4 2" xfId="1834" xr:uid="{00000000-0005-0000-0000-0000621B0000}"/>
    <cellStyle name="Percentuale 40 4 2 2" xfId="3118" xr:uid="{00000000-0005-0000-0000-0000631B0000}"/>
    <cellStyle name="Percentuale 40 4 3" xfId="3117" xr:uid="{00000000-0005-0000-0000-0000641B0000}"/>
    <cellStyle name="Percentuale 40 5" xfId="1835" xr:uid="{00000000-0005-0000-0000-0000651B0000}"/>
    <cellStyle name="Percentuale 41" xfId="393" xr:uid="{00000000-0005-0000-0000-0000661B0000}"/>
    <cellStyle name="Percentuale 41 2" xfId="628" xr:uid="{00000000-0005-0000-0000-0000671B0000}"/>
    <cellStyle name="Percentuale 41 2 2" xfId="3119" xr:uid="{00000000-0005-0000-0000-0000681B0000}"/>
    <cellStyle name="Percentuale 41 3" xfId="1836" xr:uid="{00000000-0005-0000-0000-0000691B0000}"/>
    <cellStyle name="Percentuale 41 3 2" xfId="1837" xr:uid="{00000000-0005-0000-0000-00006A1B0000}"/>
    <cellStyle name="Percentuale 41 3 2 2" xfId="4396" xr:uid="{00000000-0005-0000-0000-00006B1B0000}"/>
    <cellStyle name="Percentuale 41 3 2 3" xfId="5415" xr:uid="{00000000-0005-0000-0000-00006C1B0000}"/>
    <cellStyle name="Percentuale 41 3 3" xfId="1838" xr:uid="{00000000-0005-0000-0000-00006D1B0000}"/>
    <cellStyle name="Percentuale 41 3 3 2" xfId="3121" xr:uid="{00000000-0005-0000-0000-00006E1B0000}"/>
    <cellStyle name="Percentuale 41 3 4" xfId="3120" xr:uid="{00000000-0005-0000-0000-00006F1B0000}"/>
    <cellStyle name="Percentuale 41 4" xfId="1839" xr:uid="{00000000-0005-0000-0000-0000701B0000}"/>
    <cellStyle name="Percentuale 41 4 2" xfId="1840" xr:uid="{00000000-0005-0000-0000-0000711B0000}"/>
    <cellStyle name="Percentuale 41 4 2 2" xfId="3123" xr:uid="{00000000-0005-0000-0000-0000721B0000}"/>
    <cellStyle name="Percentuale 41 4 3" xfId="3122" xr:uid="{00000000-0005-0000-0000-0000731B0000}"/>
    <cellStyle name="Percentuale 41 5" xfId="1841" xr:uid="{00000000-0005-0000-0000-0000741B0000}"/>
    <cellStyle name="Percentuale 42" xfId="394" xr:uid="{00000000-0005-0000-0000-0000751B0000}"/>
    <cellStyle name="Percentuale 42 2" xfId="629" xr:uid="{00000000-0005-0000-0000-0000761B0000}"/>
    <cellStyle name="Percentuale 42 2 2" xfId="3124" xr:uid="{00000000-0005-0000-0000-0000771B0000}"/>
    <cellStyle name="Percentuale 42 3" xfId="1842" xr:uid="{00000000-0005-0000-0000-0000781B0000}"/>
    <cellStyle name="Percentuale 42 3 2" xfId="1843" xr:uid="{00000000-0005-0000-0000-0000791B0000}"/>
    <cellStyle name="Percentuale 42 3 2 2" xfId="4397" xr:uid="{00000000-0005-0000-0000-00007A1B0000}"/>
    <cellStyle name="Percentuale 42 3 2 3" xfId="5416" xr:uid="{00000000-0005-0000-0000-00007B1B0000}"/>
    <cellStyle name="Percentuale 42 3 3" xfId="1844" xr:uid="{00000000-0005-0000-0000-00007C1B0000}"/>
    <cellStyle name="Percentuale 42 3 3 2" xfId="3126" xr:uid="{00000000-0005-0000-0000-00007D1B0000}"/>
    <cellStyle name="Percentuale 42 3 4" xfId="3125" xr:uid="{00000000-0005-0000-0000-00007E1B0000}"/>
    <cellStyle name="Percentuale 42 4" xfId="1845" xr:uid="{00000000-0005-0000-0000-00007F1B0000}"/>
    <cellStyle name="Percentuale 42 4 2" xfId="1846" xr:uid="{00000000-0005-0000-0000-0000801B0000}"/>
    <cellStyle name="Percentuale 42 4 2 2" xfId="3128" xr:uid="{00000000-0005-0000-0000-0000811B0000}"/>
    <cellStyle name="Percentuale 42 4 3" xfId="3127" xr:uid="{00000000-0005-0000-0000-0000821B0000}"/>
    <cellStyle name="Percentuale 42 5" xfId="1847" xr:uid="{00000000-0005-0000-0000-0000831B0000}"/>
    <cellStyle name="Percentuale 43" xfId="395" xr:uid="{00000000-0005-0000-0000-0000841B0000}"/>
    <cellStyle name="Percentuale 43 2" xfId="630" xr:uid="{00000000-0005-0000-0000-0000851B0000}"/>
    <cellStyle name="Percentuale 43 2 2" xfId="3129" xr:uid="{00000000-0005-0000-0000-0000861B0000}"/>
    <cellStyle name="Percentuale 43 3" xfId="1848" xr:uid="{00000000-0005-0000-0000-0000871B0000}"/>
    <cellStyle name="Percentuale 43 3 2" xfId="1849" xr:uid="{00000000-0005-0000-0000-0000881B0000}"/>
    <cellStyle name="Percentuale 43 3 2 2" xfId="4398" xr:uid="{00000000-0005-0000-0000-0000891B0000}"/>
    <cellStyle name="Percentuale 43 3 2 3" xfId="5417" xr:uid="{00000000-0005-0000-0000-00008A1B0000}"/>
    <cellStyle name="Percentuale 43 3 3" xfId="1850" xr:uid="{00000000-0005-0000-0000-00008B1B0000}"/>
    <cellStyle name="Percentuale 43 3 3 2" xfId="3131" xr:uid="{00000000-0005-0000-0000-00008C1B0000}"/>
    <cellStyle name="Percentuale 43 3 4" xfId="3130" xr:uid="{00000000-0005-0000-0000-00008D1B0000}"/>
    <cellStyle name="Percentuale 43 4" xfId="1851" xr:uid="{00000000-0005-0000-0000-00008E1B0000}"/>
    <cellStyle name="Percentuale 43 4 2" xfId="1852" xr:uid="{00000000-0005-0000-0000-00008F1B0000}"/>
    <cellStyle name="Percentuale 43 4 2 2" xfId="3133" xr:uid="{00000000-0005-0000-0000-0000901B0000}"/>
    <cellStyle name="Percentuale 43 4 3" xfId="3132" xr:uid="{00000000-0005-0000-0000-0000911B0000}"/>
    <cellStyle name="Percentuale 43 5" xfId="1853" xr:uid="{00000000-0005-0000-0000-0000921B0000}"/>
    <cellStyle name="Percentuale 44" xfId="396" xr:uid="{00000000-0005-0000-0000-0000931B0000}"/>
    <cellStyle name="Percentuale 44 2" xfId="631" xr:uid="{00000000-0005-0000-0000-0000941B0000}"/>
    <cellStyle name="Percentuale 44 2 2" xfId="3134" xr:uid="{00000000-0005-0000-0000-0000951B0000}"/>
    <cellStyle name="Percentuale 44 3" xfId="1854" xr:uid="{00000000-0005-0000-0000-0000961B0000}"/>
    <cellStyle name="Percentuale 44 3 2" xfId="1855" xr:uid="{00000000-0005-0000-0000-0000971B0000}"/>
    <cellStyle name="Percentuale 44 3 2 2" xfId="4399" xr:uid="{00000000-0005-0000-0000-0000981B0000}"/>
    <cellStyle name="Percentuale 44 3 2 3" xfId="5418" xr:uid="{00000000-0005-0000-0000-0000991B0000}"/>
    <cellStyle name="Percentuale 44 3 3" xfId="1856" xr:uid="{00000000-0005-0000-0000-00009A1B0000}"/>
    <cellStyle name="Percentuale 44 3 3 2" xfId="3136" xr:uid="{00000000-0005-0000-0000-00009B1B0000}"/>
    <cellStyle name="Percentuale 44 3 4" xfId="3135" xr:uid="{00000000-0005-0000-0000-00009C1B0000}"/>
    <cellStyle name="Percentuale 44 4" xfId="1857" xr:uid="{00000000-0005-0000-0000-00009D1B0000}"/>
    <cellStyle name="Percentuale 44 4 2" xfId="1858" xr:uid="{00000000-0005-0000-0000-00009E1B0000}"/>
    <cellStyle name="Percentuale 44 4 2 2" xfId="3138" xr:uid="{00000000-0005-0000-0000-00009F1B0000}"/>
    <cellStyle name="Percentuale 44 4 3" xfId="3137" xr:uid="{00000000-0005-0000-0000-0000A01B0000}"/>
    <cellStyle name="Percentuale 44 5" xfId="1859" xr:uid="{00000000-0005-0000-0000-0000A11B0000}"/>
    <cellStyle name="Percentuale 45" xfId="397" xr:uid="{00000000-0005-0000-0000-0000A21B0000}"/>
    <cellStyle name="Percentuale 45 2" xfId="632" xr:uid="{00000000-0005-0000-0000-0000A31B0000}"/>
    <cellStyle name="Percentuale 45 2 2" xfId="3139" xr:uid="{00000000-0005-0000-0000-0000A41B0000}"/>
    <cellStyle name="Percentuale 45 3" xfId="1860" xr:uid="{00000000-0005-0000-0000-0000A51B0000}"/>
    <cellStyle name="Percentuale 45 3 2" xfId="1861" xr:uid="{00000000-0005-0000-0000-0000A61B0000}"/>
    <cellStyle name="Percentuale 45 3 2 2" xfId="4400" xr:uid="{00000000-0005-0000-0000-0000A71B0000}"/>
    <cellStyle name="Percentuale 45 3 2 3" xfId="5419" xr:uid="{00000000-0005-0000-0000-0000A81B0000}"/>
    <cellStyle name="Percentuale 45 3 3" xfId="1862" xr:uid="{00000000-0005-0000-0000-0000A91B0000}"/>
    <cellStyle name="Percentuale 45 3 3 2" xfId="3141" xr:uid="{00000000-0005-0000-0000-0000AA1B0000}"/>
    <cellStyle name="Percentuale 45 3 4" xfId="3140" xr:uid="{00000000-0005-0000-0000-0000AB1B0000}"/>
    <cellStyle name="Percentuale 45 4" xfId="1863" xr:uid="{00000000-0005-0000-0000-0000AC1B0000}"/>
    <cellStyle name="Percentuale 45 4 2" xfId="1864" xr:uid="{00000000-0005-0000-0000-0000AD1B0000}"/>
    <cellStyle name="Percentuale 45 4 2 2" xfId="3143" xr:uid="{00000000-0005-0000-0000-0000AE1B0000}"/>
    <cellStyle name="Percentuale 45 4 3" xfId="3142" xr:uid="{00000000-0005-0000-0000-0000AF1B0000}"/>
    <cellStyle name="Percentuale 45 5" xfId="1865" xr:uid="{00000000-0005-0000-0000-0000B01B0000}"/>
    <cellStyle name="Percentuale 46" xfId="398" xr:uid="{00000000-0005-0000-0000-0000B11B0000}"/>
    <cellStyle name="Percentuale 46 2" xfId="633" xr:uid="{00000000-0005-0000-0000-0000B21B0000}"/>
    <cellStyle name="Percentuale 46 2 2" xfId="3144" xr:uid="{00000000-0005-0000-0000-0000B31B0000}"/>
    <cellStyle name="Percentuale 46 3" xfId="1866" xr:uid="{00000000-0005-0000-0000-0000B41B0000}"/>
    <cellStyle name="Percentuale 46 3 2" xfId="1867" xr:uid="{00000000-0005-0000-0000-0000B51B0000}"/>
    <cellStyle name="Percentuale 46 3 2 2" xfId="4401" xr:uid="{00000000-0005-0000-0000-0000B61B0000}"/>
    <cellStyle name="Percentuale 46 3 2 3" xfId="5420" xr:uid="{00000000-0005-0000-0000-0000B71B0000}"/>
    <cellStyle name="Percentuale 46 3 3" xfId="1868" xr:uid="{00000000-0005-0000-0000-0000B81B0000}"/>
    <cellStyle name="Percentuale 46 3 3 2" xfId="3146" xr:uid="{00000000-0005-0000-0000-0000B91B0000}"/>
    <cellStyle name="Percentuale 46 3 4" xfId="3145" xr:uid="{00000000-0005-0000-0000-0000BA1B0000}"/>
    <cellStyle name="Percentuale 46 4" xfId="1869" xr:uid="{00000000-0005-0000-0000-0000BB1B0000}"/>
    <cellStyle name="Percentuale 46 4 2" xfId="1870" xr:uid="{00000000-0005-0000-0000-0000BC1B0000}"/>
    <cellStyle name="Percentuale 46 4 2 2" xfId="3148" xr:uid="{00000000-0005-0000-0000-0000BD1B0000}"/>
    <cellStyle name="Percentuale 46 4 3" xfId="3147" xr:uid="{00000000-0005-0000-0000-0000BE1B0000}"/>
    <cellStyle name="Percentuale 46 5" xfId="1871" xr:uid="{00000000-0005-0000-0000-0000BF1B0000}"/>
    <cellStyle name="Percentuale 47" xfId="399" xr:uid="{00000000-0005-0000-0000-0000C01B0000}"/>
    <cellStyle name="Percentuale 47 2" xfId="634" xr:uid="{00000000-0005-0000-0000-0000C11B0000}"/>
    <cellStyle name="Percentuale 47 2 2" xfId="3149" xr:uid="{00000000-0005-0000-0000-0000C21B0000}"/>
    <cellStyle name="Percentuale 47 3" xfId="1872" xr:uid="{00000000-0005-0000-0000-0000C31B0000}"/>
    <cellStyle name="Percentuale 47 3 2" xfId="1873" xr:uid="{00000000-0005-0000-0000-0000C41B0000}"/>
    <cellStyle name="Percentuale 47 3 2 2" xfId="4402" xr:uid="{00000000-0005-0000-0000-0000C51B0000}"/>
    <cellStyle name="Percentuale 47 3 2 3" xfId="5421" xr:uid="{00000000-0005-0000-0000-0000C61B0000}"/>
    <cellStyle name="Percentuale 47 3 3" xfId="1874" xr:uid="{00000000-0005-0000-0000-0000C71B0000}"/>
    <cellStyle name="Percentuale 47 3 3 2" xfId="3151" xr:uid="{00000000-0005-0000-0000-0000C81B0000}"/>
    <cellStyle name="Percentuale 47 3 4" xfId="3150" xr:uid="{00000000-0005-0000-0000-0000C91B0000}"/>
    <cellStyle name="Percentuale 47 4" xfId="1875" xr:uid="{00000000-0005-0000-0000-0000CA1B0000}"/>
    <cellStyle name="Percentuale 47 4 2" xfId="1876" xr:uid="{00000000-0005-0000-0000-0000CB1B0000}"/>
    <cellStyle name="Percentuale 47 4 2 2" xfId="3153" xr:uid="{00000000-0005-0000-0000-0000CC1B0000}"/>
    <cellStyle name="Percentuale 47 4 3" xfId="3152" xr:uid="{00000000-0005-0000-0000-0000CD1B0000}"/>
    <cellStyle name="Percentuale 47 5" xfId="1877" xr:uid="{00000000-0005-0000-0000-0000CE1B0000}"/>
    <cellStyle name="Percentuale 48" xfId="400" xr:uid="{00000000-0005-0000-0000-0000CF1B0000}"/>
    <cellStyle name="Percentuale 48 2" xfId="635" xr:uid="{00000000-0005-0000-0000-0000D01B0000}"/>
    <cellStyle name="Percentuale 48 2 2" xfId="3154" xr:uid="{00000000-0005-0000-0000-0000D11B0000}"/>
    <cellStyle name="Percentuale 48 3" xfId="1878" xr:uid="{00000000-0005-0000-0000-0000D21B0000}"/>
    <cellStyle name="Percentuale 48 3 2" xfId="1879" xr:uid="{00000000-0005-0000-0000-0000D31B0000}"/>
    <cellStyle name="Percentuale 48 3 2 2" xfId="4403" xr:uid="{00000000-0005-0000-0000-0000D41B0000}"/>
    <cellStyle name="Percentuale 48 3 2 3" xfId="5422" xr:uid="{00000000-0005-0000-0000-0000D51B0000}"/>
    <cellStyle name="Percentuale 48 3 3" xfId="1880" xr:uid="{00000000-0005-0000-0000-0000D61B0000}"/>
    <cellStyle name="Percentuale 48 3 3 2" xfId="3156" xr:uid="{00000000-0005-0000-0000-0000D71B0000}"/>
    <cellStyle name="Percentuale 48 3 4" xfId="3155" xr:uid="{00000000-0005-0000-0000-0000D81B0000}"/>
    <cellStyle name="Percentuale 48 4" xfId="1881" xr:uid="{00000000-0005-0000-0000-0000D91B0000}"/>
    <cellStyle name="Percentuale 48 4 2" xfId="1882" xr:uid="{00000000-0005-0000-0000-0000DA1B0000}"/>
    <cellStyle name="Percentuale 48 4 2 2" xfId="3158" xr:uid="{00000000-0005-0000-0000-0000DB1B0000}"/>
    <cellStyle name="Percentuale 48 4 3" xfId="3157" xr:uid="{00000000-0005-0000-0000-0000DC1B0000}"/>
    <cellStyle name="Percentuale 48 5" xfId="1883" xr:uid="{00000000-0005-0000-0000-0000DD1B0000}"/>
    <cellStyle name="Percentuale 49" xfId="401" xr:uid="{00000000-0005-0000-0000-0000DE1B0000}"/>
    <cellStyle name="Percentuale 49 2" xfId="636" xr:uid="{00000000-0005-0000-0000-0000DF1B0000}"/>
    <cellStyle name="Percentuale 49 2 2" xfId="3159" xr:uid="{00000000-0005-0000-0000-0000E01B0000}"/>
    <cellStyle name="Percentuale 49 3" xfId="1884" xr:uid="{00000000-0005-0000-0000-0000E11B0000}"/>
    <cellStyle name="Percentuale 49 3 2" xfId="1885" xr:uid="{00000000-0005-0000-0000-0000E21B0000}"/>
    <cellStyle name="Percentuale 49 3 2 2" xfId="4404" xr:uid="{00000000-0005-0000-0000-0000E31B0000}"/>
    <cellStyle name="Percentuale 49 3 2 3" xfId="5423" xr:uid="{00000000-0005-0000-0000-0000E41B0000}"/>
    <cellStyle name="Percentuale 49 3 3" xfId="1886" xr:uid="{00000000-0005-0000-0000-0000E51B0000}"/>
    <cellStyle name="Percentuale 49 3 3 2" xfId="3161" xr:uid="{00000000-0005-0000-0000-0000E61B0000}"/>
    <cellStyle name="Percentuale 49 3 4" xfId="3160" xr:uid="{00000000-0005-0000-0000-0000E71B0000}"/>
    <cellStyle name="Percentuale 49 4" xfId="1887" xr:uid="{00000000-0005-0000-0000-0000E81B0000}"/>
    <cellStyle name="Percentuale 49 4 2" xfId="1888" xr:uid="{00000000-0005-0000-0000-0000E91B0000}"/>
    <cellStyle name="Percentuale 49 4 2 2" xfId="3163" xr:uid="{00000000-0005-0000-0000-0000EA1B0000}"/>
    <cellStyle name="Percentuale 49 4 3" xfId="3162" xr:uid="{00000000-0005-0000-0000-0000EB1B0000}"/>
    <cellStyle name="Percentuale 49 5" xfId="1889" xr:uid="{00000000-0005-0000-0000-0000EC1B0000}"/>
    <cellStyle name="Percentuale 5" xfId="402" xr:uid="{00000000-0005-0000-0000-0000ED1B0000}"/>
    <cellStyle name="Percentuale 5 2" xfId="637" xr:uid="{00000000-0005-0000-0000-0000EE1B0000}"/>
    <cellStyle name="Percentuale 5 2 2" xfId="3164" xr:uid="{00000000-0005-0000-0000-0000EF1B0000}"/>
    <cellStyle name="Percentuale 5 3" xfId="1890" xr:uid="{00000000-0005-0000-0000-0000F01B0000}"/>
    <cellStyle name="Percentuale 5 3 2" xfId="1891" xr:uid="{00000000-0005-0000-0000-0000F11B0000}"/>
    <cellStyle name="Percentuale 5 3 2 2" xfId="4405" xr:uid="{00000000-0005-0000-0000-0000F21B0000}"/>
    <cellStyle name="Percentuale 5 3 2 3" xfId="5424" xr:uid="{00000000-0005-0000-0000-0000F31B0000}"/>
    <cellStyle name="Percentuale 5 3 3" xfId="1892" xr:uid="{00000000-0005-0000-0000-0000F41B0000}"/>
    <cellStyle name="Percentuale 5 3 3 2" xfId="3166" xr:uid="{00000000-0005-0000-0000-0000F51B0000}"/>
    <cellStyle name="Percentuale 5 3 4" xfId="3165" xr:uid="{00000000-0005-0000-0000-0000F61B0000}"/>
    <cellStyle name="Percentuale 5 4" xfId="1893" xr:uid="{00000000-0005-0000-0000-0000F71B0000}"/>
    <cellStyle name="Percentuale 5 4 2" xfId="1894" xr:uid="{00000000-0005-0000-0000-0000F81B0000}"/>
    <cellStyle name="Percentuale 5 4 2 2" xfId="3168" xr:uid="{00000000-0005-0000-0000-0000F91B0000}"/>
    <cellStyle name="Percentuale 5 4 3" xfId="3167" xr:uid="{00000000-0005-0000-0000-0000FA1B0000}"/>
    <cellStyle name="Percentuale 5 5" xfId="1895" xr:uid="{00000000-0005-0000-0000-0000FB1B0000}"/>
    <cellStyle name="Percentuale 50" xfId="403" xr:uid="{00000000-0005-0000-0000-0000FC1B0000}"/>
    <cellStyle name="Percentuale 50 2" xfId="638" xr:uid="{00000000-0005-0000-0000-0000FD1B0000}"/>
    <cellStyle name="Percentuale 50 2 2" xfId="3169" xr:uid="{00000000-0005-0000-0000-0000FE1B0000}"/>
    <cellStyle name="Percentuale 50 3" xfId="1896" xr:uid="{00000000-0005-0000-0000-0000FF1B0000}"/>
    <cellStyle name="Percentuale 50 3 2" xfId="1897" xr:uid="{00000000-0005-0000-0000-0000001C0000}"/>
    <cellStyle name="Percentuale 50 3 2 2" xfId="4406" xr:uid="{00000000-0005-0000-0000-0000011C0000}"/>
    <cellStyle name="Percentuale 50 3 2 3" xfId="5425" xr:uid="{00000000-0005-0000-0000-0000021C0000}"/>
    <cellStyle name="Percentuale 50 3 3" xfId="1898" xr:uid="{00000000-0005-0000-0000-0000031C0000}"/>
    <cellStyle name="Percentuale 50 3 3 2" xfId="3171" xr:uid="{00000000-0005-0000-0000-0000041C0000}"/>
    <cellStyle name="Percentuale 50 3 4" xfId="3170" xr:uid="{00000000-0005-0000-0000-0000051C0000}"/>
    <cellStyle name="Percentuale 50 4" xfId="1899" xr:uid="{00000000-0005-0000-0000-0000061C0000}"/>
    <cellStyle name="Percentuale 50 4 2" xfId="1900" xr:uid="{00000000-0005-0000-0000-0000071C0000}"/>
    <cellStyle name="Percentuale 50 4 2 2" xfId="3173" xr:uid="{00000000-0005-0000-0000-0000081C0000}"/>
    <cellStyle name="Percentuale 50 4 3" xfId="3172" xr:uid="{00000000-0005-0000-0000-0000091C0000}"/>
    <cellStyle name="Percentuale 50 5" xfId="1901" xr:uid="{00000000-0005-0000-0000-00000A1C0000}"/>
    <cellStyle name="Percentuale 51" xfId="404" xr:uid="{00000000-0005-0000-0000-00000B1C0000}"/>
    <cellStyle name="Percentuale 51 2" xfId="639" xr:uid="{00000000-0005-0000-0000-00000C1C0000}"/>
    <cellStyle name="Percentuale 51 2 2" xfId="3174" xr:uid="{00000000-0005-0000-0000-00000D1C0000}"/>
    <cellStyle name="Percentuale 51 3" xfId="1902" xr:uid="{00000000-0005-0000-0000-00000E1C0000}"/>
    <cellStyle name="Percentuale 51 3 2" xfId="1903" xr:uid="{00000000-0005-0000-0000-00000F1C0000}"/>
    <cellStyle name="Percentuale 51 3 2 2" xfId="4407" xr:uid="{00000000-0005-0000-0000-0000101C0000}"/>
    <cellStyle name="Percentuale 51 3 2 3" xfId="5426" xr:uid="{00000000-0005-0000-0000-0000111C0000}"/>
    <cellStyle name="Percentuale 51 3 3" xfId="1904" xr:uid="{00000000-0005-0000-0000-0000121C0000}"/>
    <cellStyle name="Percentuale 51 3 3 2" xfId="3176" xr:uid="{00000000-0005-0000-0000-0000131C0000}"/>
    <cellStyle name="Percentuale 51 3 4" xfId="3175" xr:uid="{00000000-0005-0000-0000-0000141C0000}"/>
    <cellStyle name="Percentuale 51 4" xfId="1905" xr:uid="{00000000-0005-0000-0000-0000151C0000}"/>
    <cellStyle name="Percentuale 51 4 2" xfId="1906" xr:uid="{00000000-0005-0000-0000-0000161C0000}"/>
    <cellStyle name="Percentuale 51 4 2 2" xfId="3178" xr:uid="{00000000-0005-0000-0000-0000171C0000}"/>
    <cellStyle name="Percentuale 51 4 3" xfId="3177" xr:uid="{00000000-0005-0000-0000-0000181C0000}"/>
    <cellStyle name="Percentuale 51 5" xfId="1907" xr:uid="{00000000-0005-0000-0000-0000191C0000}"/>
    <cellStyle name="Percentuale 52" xfId="405" xr:uid="{00000000-0005-0000-0000-00001A1C0000}"/>
    <cellStyle name="Percentuale 52 2" xfId="640" xr:uid="{00000000-0005-0000-0000-00001B1C0000}"/>
    <cellStyle name="Percentuale 52 2 2" xfId="3179" xr:uid="{00000000-0005-0000-0000-00001C1C0000}"/>
    <cellStyle name="Percentuale 52 3" xfId="1908" xr:uid="{00000000-0005-0000-0000-00001D1C0000}"/>
    <cellStyle name="Percentuale 52 3 2" xfId="1909" xr:uid="{00000000-0005-0000-0000-00001E1C0000}"/>
    <cellStyle name="Percentuale 52 3 2 2" xfId="4408" xr:uid="{00000000-0005-0000-0000-00001F1C0000}"/>
    <cellStyle name="Percentuale 52 3 2 3" xfId="5427" xr:uid="{00000000-0005-0000-0000-0000201C0000}"/>
    <cellStyle name="Percentuale 52 3 3" xfId="1910" xr:uid="{00000000-0005-0000-0000-0000211C0000}"/>
    <cellStyle name="Percentuale 52 3 3 2" xfId="3181" xr:uid="{00000000-0005-0000-0000-0000221C0000}"/>
    <cellStyle name="Percentuale 52 3 4" xfId="3180" xr:uid="{00000000-0005-0000-0000-0000231C0000}"/>
    <cellStyle name="Percentuale 52 4" xfId="1911" xr:uid="{00000000-0005-0000-0000-0000241C0000}"/>
    <cellStyle name="Percentuale 52 4 2" xfId="1912" xr:uid="{00000000-0005-0000-0000-0000251C0000}"/>
    <cellStyle name="Percentuale 52 4 2 2" xfId="3183" xr:uid="{00000000-0005-0000-0000-0000261C0000}"/>
    <cellStyle name="Percentuale 52 4 3" xfId="3182" xr:uid="{00000000-0005-0000-0000-0000271C0000}"/>
    <cellStyle name="Percentuale 52 5" xfId="1913" xr:uid="{00000000-0005-0000-0000-0000281C0000}"/>
    <cellStyle name="Percentuale 53" xfId="406" xr:uid="{00000000-0005-0000-0000-0000291C0000}"/>
    <cellStyle name="Percentuale 53 2" xfId="641" xr:uid="{00000000-0005-0000-0000-00002A1C0000}"/>
    <cellStyle name="Percentuale 53 2 2" xfId="3184" xr:uid="{00000000-0005-0000-0000-00002B1C0000}"/>
    <cellStyle name="Percentuale 53 3" xfId="1914" xr:uid="{00000000-0005-0000-0000-00002C1C0000}"/>
    <cellStyle name="Percentuale 53 3 2" xfId="1915" xr:uid="{00000000-0005-0000-0000-00002D1C0000}"/>
    <cellStyle name="Percentuale 53 3 2 2" xfId="4409" xr:uid="{00000000-0005-0000-0000-00002E1C0000}"/>
    <cellStyle name="Percentuale 53 3 2 3" xfId="5428" xr:uid="{00000000-0005-0000-0000-00002F1C0000}"/>
    <cellStyle name="Percentuale 53 3 3" xfId="1916" xr:uid="{00000000-0005-0000-0000-0000301C0000}"/>
    <cellStyle name="Percentuale 53 3 3 2" xfId="3186" xr:uid="{00000000-0005-0000-0000-0000311C0000}"/>
    <cellStyle name="Percentuale 53 3 4" xfId="3185" xr:uid="{00000000-0005-0000-0000-0000321C0000}"/>
    <cellStyle name="Percentuale 53 4" xfId="1917" xr:uid="{00000000-0005-0000-0000-0000331C0000}"/>
    <cellStyle name="Percentuale 53 4 2" xfId="1918" xr:uid="{00000000-0005-0000-0000-0000341C0000}"/>
    <cellStyle name="Percentuale 53 4 2 2" xfId="3188" xr:uid="{00000000-0005-0000-0000-0000351C0000}"/>
    <cellStyle name="Percentuale 53 4 3" xfId="3187" xr:uid="{00000000-0005-0000-0000-0000361C0000}"/>
    <cellStyle name="Percentuale 53 5" xfId="1919" xr:uid="{00000000-0005-0000-0000-0000371C0000}"/>
    <cellStyle name="Percentuale 54" xfId="407" xr:uid="{00000000-0005-0000-0000-0000381C0000}"/>
    <cellStyle name="Percentuale 54 2" xfId="642" xr:uid="{00000000-0005-0000-0000-0000391C0000}"/>
    <cellStyle name="Percentuale 54 2 2" xfId="3189" xr:uid="{00000000-0005-0000-0000-00003A1C0000}"/>
    <cellStyle name="Percentuale 54 3" xfId="1920" xr:uid="{00000000-0005-0000-0000-00003B1C0000}"/>
    <cellStyle name="Percentuale 54 3 2" xfId="1921" xr:uid="{00000000-0005-0000-0000-00003C1C0000}"/>
    <cellStyle name="Percentuale 54 3 2 2" xfId="4410" xr:uid="{00000000-0005-0000-0000-00003D1C0000}"/>
    <cellStyle name="Percentuale 54 3 2 3" xfId="5429" xr:uid="{00000000-0005-0000-0000-00003E1C0000}"/>
    <cellStyle name="Percentuale 54 3 3" xfId="1922" xr:uid="{00000000-0005-0000-0000-00003F1C0000}"/>
    <cellStyle name="Percentuale 54 3 3 2" xfId="3191" xr:uid="{00000000-0005-0000-0000-0000401C0000}"/>
    <cellStyle name="Percentuale 54 3 4" xfId="3190" xr:uid="{00000000-0005-0000-0000-0000411C0000}"/>
    <cellStyle name="Percentuale 54 4" xfId="1923" xr:uid="{00000000-0005-0000-0000-0000421C0000}"/>
    <cellStyle name="Percentuale 54 4 2" xfId="1924" xr:uid="{00000000-0005-0000-0000-0000431C0000}"/>
    <cellStyle name="Percentuale 54 4 2 2" xfId="3193" xr:uid="{00000000-0005-0000-0000-0000441C0000}"/>
    <cellStyle name="Percentuale 54 4 3" xfId="3192" xr:uid="{00000000-0005-0000-0000-0000451C0000}"/>
    <cellStyle name="Percentuale 54 5" xfId="1925" xr:uid="{00000000-0005-0000-0000-0000461C0000}"/>
    <cellStyle name="Percentuale 55" xfId="408" xr:uid="{00000000-0005-0000-0000-0000471C0000}"/>
    <cellStyle name="Percentuale 55 2" xfId="643" xr:uid="{00000000-0005-0000-0000-0000481C0000}"/>
    <cellStyle name="Percentuale 55 2 2" xfId="3194" xr:uid="{00000000-0005-0000-0000-0000491C0000}"/>
    <cellStyle name="Percentuale 55 3" xfId="1926" xr:uid="{00000000-0005-0000-0000-00004A1C0000}"/>
    <cellStyle name="Percentuale 55 3 2" xfId="1927" xr:uid="{00000000-0005-0000-0000-00004B1C0000}"/>
    <cellStyle name="Percentuale 55 3 2 2" xfId="4411" xr:uid="{00000000-0005-0000-0000-00004C1C0000}"/>
    <cellStyle name="Percentuale 55 3 2 3" xfId="5430" xr:uid="{00000000-0005-0000-0000-00004D1C0000}"/>
    <cellStyle name="Percentuale 55 3 3" xfId="1928" xr:uid="{00000000-0005-0000-0000-00004E1C0000}"/>
    <cellStyle name="Percentuale 55 3 3 2" xfId="3196" xr:uid="{00000000-0005-0000-0000-00004F1C0000}"/>
    <cellStyle name="Percentuale 55 3 4" xfId="3195" xr:uid="{00000000-0005-0000-0000-0000501C0000}"/>
    <cellStyle name="Percentuale 55 4" xfId="1929" xr:uid="{00000000-0005-0000-0000-0000511C0000}"/>
    <cellStyle name="Percentuale 55 4 2" xfId="1930" xr:uid="{00000000-0005-0000-0000-0000521C0000}"/>
    <cellStyle name="Percentuale 55 4 2 2" xfId="3198" xr:uid="{00000000-0005-0000-0000-0000531C0000}"/>
    <cellStyle name="Percentuale 55 4 3" xfId="3197" xr:uid="{00000000-0005-0000-0000-0000541C0000}"/>
    <cellStyle name="Percentuale 55 5" xfId="1931" xr:uid="{00000000-0005-0000-0000-0000551C0000}"/>
    <cellStyle name="Percentuale 56" xfId="409" xr:uid="{00000000-0005-0000-0000-0000561C0000}"/>
    <cellStyle name="Percentuale 56 2" xfId="644" xr:uid="{00000000-0005-0000-0000-0000571C0000}"/>
    <cellStyle name="Percentuale 56 2 2" xfId="3199" xr:uid="{00000000-0005-0000-0000-0000581C0000}"/>
    <cellStyle name="Percentuale 56 3" xfId="1932" xr:uid="{00000000-0005-0000-0000-0000591C0000}"/>
    <cellStyle name="Percentuale 56 3 2" xfId="1933" xr:uid="{00000000-0005-0000-0000-00005A1C0000}"/>
    <cellStyle name="Percentuale 56 3 2 2" xfId="4412" xr:uid="{00000000-0005-0000-0000-00005B1C0000}"/>
    <cellStyle name="Percentuale 56 3 2 3" xfId="5431" xr:uid="{00000000-0005-0000-0000-00005C1C0000}"/>
    <cellStyle name="Percentuale 56 3 3" xfId="1934" xr:uid="{00000000-0005-0000-0000-00005D1C0000}"/>
    <cellStyle name="Percentuale 56 3 3 2" xfId="3201" xr:uid="{00000000-0005-0000-0000-00005E1C0000}"/>
    <cellStyle name="Percentuale 56 3 4" xfId="3200" xr:uid="{00000000-0005-0000-0000-00005F1C0000}"/>
    <cellStyle name="Percentuale 56 4" xfId="1935" xr:uid="{00000000-0005-0000-0000-0000601C0000}"/>
    <cellStyle name="Percentuale 56 4 2" xfId="1936" xr:uid="{00000000-0005-0000-0000-0000611C0000}"/>
    <cellStyle name="Percentuale 56 4 2 2" xfId="3203" xr:uid="{00000000-0005-0000-0000-0000621C0000}"/>
    <cellStyle name="Percentuale 56 4 3" xfId="3202" xr:uid="{00000000-0005-0000-0000-0000631C0000}"/>
    <cellStyle name="Percentuale 56 5" xfId="1937" xr:uid="{00000000-0005-0000-0000-0000641C0000}"/>
    <cellStyle name="Percentuale 57" xfId="410" xr:uid="{00000000-0005-0000-0000-0000651C0000}"/>
    <cellStyle name="Percentuale 57 2" xfId="645" xr:uid="{00000000-0005-0000-0000-0000661C0000}"/>
    <cellStyle name="Percentuale 57 2 2" xfId="3204" xr:uid="{00000000-0005-0000-0000-0000671C0000}"/>
    <cellStyle name="Percentuale 57 3" xfId="1938" xr:uid="{00000000-0005-0000-0000-0000681C0000}"/>
    <cellStyle name="Percentuale 57 3 2" xfId="1939" xr:uid="{00000000-0005-0000-0000-0000691C0000}"/>
    <cellStyle name="Percentuale 57 3 2 2" xfId="4413" xr:uid="{00000000-0005-0000-0000-00006A1C0000}"/>
    <cellStyle name="Percentuale 57 3 2 3" xfId="5432" xr:uid="{00000000-0005-0000-0000-00006B1C0000}"/>
    <cellStyle name="Percentuale 57 3 3" xfId="1940" xr:uid="{00000000-0005-0000-0000-00006C1C0000}"/>
    <cellStyle name="Percentuale 57 3 3 2" xfId="3206" xr:uid="{00000000-0005-0000-0000-00006D1C0000}"/>
    <cellStyle name="Percentuale 57 3 4" xfId="3205" xr:uid="{00000000-0005-0000-0000-00006E1C0000}"/>
    <cellStyle name="Percentuale 57 4" xfId="1941" xr:uid="{00000000-0005-0000-0000-00006F1C0000}"/>
    <cellStyle name="Percentuale 57 4 2" xfId="1942" xr:uid="{00000000-0005-0000-0000-0000701C0000}"/>
    <cellStyle name="Percentuale 57 4 2 2" xfId="3208" xr:uid="{00000000-0005-0000-0000-0000711C0000}"/>
    <cellStyle name="Percentuale 57 4 3" xfId="3207" xr:uid="{00000000-0005-0000-0000-0000721C0000}"/>
    <cellStyle name="Percentuale 57 5" xfId="1943" xr:uid="{00000000-0005-0000-0000-0000731C0000}"/>
    <cellStyle name="Percentuale 58" xfId="411" xr:uid="{00000000-0005-0000-0000-0000741C0000}"/>
    <cellStyle name="Percentuale 58 2" xfId="646" xr:uid="{00000000-0005-0000-0000-0000751C0000}"/>
    <cellStyle name="Percentuale 58 2 2" xfId="3209" xr:uid="{00000000-0005-0000-0000-0000761C0000}"/>
    <cellStyle name="Percentuale 58 3" xfId="1944" xr:uid="{00000000-0005-0000-0000-0000771C0000}"/>
    <cellStyle name="Percentuale 58 3 2" xfId="1945" xr:uid="{00000000-0005-0000-0000-0000781C0000}"/>
    <cellStyle name="Percentuale 58 3 2 2" xfId="4414" xr:uid="{00000000-0005-0000-0000-0000791C0000}"/>
    <cellStyle name="Percentuale 58 3 2 3" xfId="5433" xr:uid="{00000000-0005-0000-0000-00007A1C0000}"/>
    <cellStyle name="Percentuale 58 3 3" xfId="1946" xr:uid="{00000000-0005-0000-0000-00007B1C0000}"/>
    <cellStyle name="Percentuale 58 3 3 2" xfId="3211" xr:uid="{00000000-0005-0000-0000-00007C1C0000}"/>
    <cellStyle name="Percentuale 58 3 4" xfId="3210" xr:uid="{00000000-0005-0000-0000-00007D1C0000}"/>
    <cellStyle name="Percentuale 58 4" xfId="1947" xr:uid="{00000000-0005-0000-0000-00007E1C0000}"/>
    <cellStyle name="Percentuale 58 4 2" xfId="1948" xr:uid="{00000000-0005-0000-0000-00007F1C0000}"/>
    <cellStyle name="Percentuale 58 4 2 2" xfId="3213" xr:uid="{00000000-0005-0000-0000-0000801C0000}"/>
    <cellStyle name="Percentuale 58 4 3" xfId="3212" xr:uid="{00000000-0005-0000-0000-0000811C0000}"/>
    <cellStyle name="Percentuale 58 5" xfId="1949" xr:uid="{00000000-0005-0000-0000-0000821C0000}"/>
    <cellStyle name="Percentuale 59" xfId="412" xr:uid="{00000000-0005-0000-0000-0000831C0000}"/>
    <cellStyle name="Percentuale 59 2" xfId="647" xr:uid="{00000000-0005-0000-0000-0000841C0000}"/>
    <cellStyle name="Percentuale 59 2 2" xfId="3214" xr:uid="{00000000-0005-0000-0000-0000851C0000}"/>
    <cellStyle name="Percentuale 59 3" xfId="1950" xr:uid="{00000000-0005-0000-0000-0000861C0000}"/>
    <cellStyle name="Percentuale 59 3 2" xfId="1951" xr:uid="{00000000-0005-0000-0000-0000871C0000}"/>
    <cellStyle name="Percentuale 59 3 2 2" xfId="4415" xr:uid="{00000000-0005-0000-0000-0000881C0000}"/>
    <cellStyle name="Percentuale 59 3 2 3" xfId="5434" xr:uid="{00000000-0005-0000-0000-0000891C0000}"/>
    <cellStyle name="Percentuale 59 3 3" xfId="1952" xr:uid="{00000000-0005-0000-0000-00008A1C0000}"/>
    <cellStyle name="Percentuale 59 3 3 2" xfId="3216" xr:uid="{00000000-0005-0000-0000-00008B1C0000}"/>
    <cellStyle name="Percentuale 59 3 4" xfId="3215" xr:uid="{00000000-0005-0000-0000-00008C1C0000}"/>
    <cellStyle name="Percentuale 59 4" xfId="1953" xr:uid="{00000000-0005-0000-0000-00008D1C0000}"/>
    <cellStyle name="Percentuale 59 4 2" xfId="1954" xr:uid="{00000000-0005-0000-0000-00008E1C0000}"/>
    <cellStyle name="Percentuale 59 4 2 2" xfId="3218" xr:uid="{00000000-0005-0000-0000-00008F1C0000}"/>
    <cellStyle name="Percentuale 59 4 3" xfId="3217" xr:uid="{00000000-0005-0000-0000-0000901C0000}"/>
    <cellStyle name="Percentuale 59 5" xfId="1955" xr:uid="{00000000-0005-0000-0000-0000911C0000}"/>
    <cellStyle name="Percentuale 6" xfId="413" xr:uid="{00000000-0005-0000-0000-0000921C0000}"/>
    <cellStyle name="Percentuale 6 2" xfId="648" xr:uid="{00000000-0005-0000-0000-0000931C0000}"/>
    <cellStyle name="Percentuale 6 2 2" xfId="3219" xr:uid="{00000000-0005-0000-0000-0000941C0000}"/>
    <cellStyle name="Percentuale 6 3" xfId="1956" xr:uid="{00000000-0005-0000-0000-0000951C0000}"/>
    <cellStyle name="Percentuale 6 3 2" xfId="1957" xr:uid="{00000000-0005-0000-0000-0000961C0000}"/>
    <cellStyle name="Percentuale 6 3 2 2" xfId="4416" xr:uid="{00000000-0005-0000-0000-0000971C0000}"/>
    <cellStyle name="Percentuale 6 3 2 3" xfId="5435" xr:uid="{00000000-0005-0000-0000-0000981C0000}"/>
    <cellStyle name="Percentuale 6 3 3" xfId="1958" xr:uid="{00000000-0005-0000-0000-0000991C0000}"/>
    <cellStyle name="Percentuale 6 3 3 2" xfId="3221" xr:uid="{00000000-0005-0000-0000-00009A1C0000}"/>
    <cellStyle name="Percentuale 6 3 4" xfId="3220" xr:uid="{00000000-0005-0000-0000-00009B1C0000}"/>
    <cellStyle name="Percentuale 6 4" xfId="1959" xr:uid="{00000000-0005-0000-0000-00009C1C0000}"/>
    <cellStyle name="Percentuale 6 4 2" xfId="1960" xr:uid="{00000000-0005-0000-0000-00009D1C0000}"/>
    <cellStyle name="Percentuale 6 4 2 2" xfId="3223" xr:uid="{00000000-0005-0000-0000-00009E1C0000}"/>
    <cellStyle name="Percentuale 6 4 3" xfId="3222" xr:uid="{00000000-0005-0000-0000-00009F1C0000}"/>
    <cellStyle name="Percentuale 6 5" xfId="1961" xr:uid="{00000000-0005-0000-0000-0000A01C0000}"/>
    <cellStyle name="Percentuale 60" xfId="414" xr:uid="{00000000-0005-0000-0000-0000A11C0000}"/>
    <cellStyle name="Percentuale 60 2" xfId="649" xr:uid="{00000000-0005-0000-0000-0000A21C0000}"/>
    <cellStyle name="Percentuale 60 2 2" xfId="3224" xr:uid="{00000000-0005-0000-0000-0000A31C0000}"/>
    <cellStyle name="Percentuale 60 3" xfId="1962" xr:uid="{00000000-0005-0000-0000-0000A41C0000}"/>
    <cellStyle name="Percentuale 60 3 2" xfId="1963" xr:uid="{00000000-0005-0000-0000-0000A51C0000}"/>
    <cellStyle name="Percentuale 60 3 2 2" xfId="4417" xr:uid="{00000000-0005-0000-0000-0000A61C0000}"/>
    <cellStyle name="Percentuale 60 3 2 3" xfId="5436" xr:uid="{00000000-0005-0000-0000-0000A71C0000}"/>
    <cellStyle name="Percentuale 60 3 3" xfId="1964" xr:uid="{00000000-0005-0000-0000-0000A81C0000}"/>
    <cellStyle name="Percentuale 60 3 3 2" xfId="3226" xr:uid="{00000000-0005-0000-0000-0000A91C0000}"/>
    <cellStyle name="Percentuale 60 3 4" xfId="3225" xr:uid="{00000000-0005-0000-0000-0000AA1C0000}"/>
    <cellStyle name="Percentuale 60 4" xfId="1965" xr:uid="{00000000-0005-0000-0000-0000AB1C0000}"/>
    <cellStyle name="Percentuale 60 4 2" xfId="1966" xr:uid="{00000000-0005-0000-0000-0000AC1C0000}"/>
    <cellStyle name="Percentuale 60 4 2 2" xfId="3228" xr:uid="{00000000-0005-0000-0000-0000AD1C0000}"/>
    <cellStyle name="Percentuale 60 4 3" xfId="3227" xr:uid="{00000000-0005-0000-0000-0000AE1C0000}"/>
    <cellStyle name="Percentuale 60 5" xfId="1967" xr:uid="{00000000-0005-0000-0000-0000AF1C0000}"/>
    <cellStyle name="Percentuale 61" xfId="415" xr:uid="{00000000-0005-0000-0000-0000B01C0000}"/>
    <cellStyle name="Percentuale 61 2" xfId="650" xr:uid="{00000000-0005-0000-0000-0000B11C0000}"/>
    <cellStyle name="Percentuale 61 2 2" xfId="3229" xr:uid="{00000000-0005-0000-0000-0000B21C0000}"/>
    <cellStyle name="Percentuale 61 3" xfId="1968" xr:uid="{00000000-0005-0000-0000-0000B31C0000}"/>
    <cellStyle name="Percentuale 61 3 2" xfId="1969" xr:uid="{00000000-0005-0000-0000-0000B41C0000}"/>
    <cellStyle name="Percentuale 61 3 2 2" xfId="4418" xr:uid="{00000000-0005-0000-0000-0000B51C0000}"/>
    <cellStyle name="Percentuale 61 3 2 3" xfId="5437" xr:uid="{00000000-0005-0000-0000-0000B61C0000}"/>
    <cellStyle name="Percentuale 61 3 3" xfId="1970" xr:uid="{00000000-0005-0000-0000-0000B71C0000}"/>
    <cellStyle name="Percentuale 61 3 3 2" xfId="3231" xr:uid="{00000000-0005-0000-0000-0000B81C0000}"/>
    <cellStyle name="Percentuale 61 3 4" xfId="3230" xr:uid="{00000000-0005-0000-0000-0000B91C0000}"/>
    <cellStyle name="Percentuale 61 4" xfId="1971" xr:uid="{00000000-0005-0000-0000-0000BA1C0000}"/>
    <cellStyle name="Percentuale 61 4 2" xfId="1972" xr:uid="{00000000-0005-0000-0000-0000BB1C0000}"/>
    <cellStyle name="Percentuale 61 4 2 2" xfId="3233" xr:uid="{00000000-0005-0000-0000-0000BC1C0000}"/>
    <cellStyle name="Percentuale 61 4 3" xfId="3232" xr:uid="{00000000-0005-0000-0000-0000BD1C0000}"/>
    <cellStyle name="Percentuale 61 5" xfId="1973" xr:uid="{00000000-0005-0000-0000-0000BE1C0000}"/>
    <cellStyle name="Percentuale 62" xfId="416" xr:uid="{00000000-0005-0000-0000-0000BF1C0000}"/>
    <cellStyle name="Percentuale 62 2" xfId="3234" xr:uid="{00000000-0005-0000-0000-0000C01C0000}"/>
    <cellStyle name="Percentuale 63" xfId="417" xr:uid="{00000000-0005-0000-0000-0000C11C0000}"/>
    <cellStyle name="Percentuale 63 2" xfId="3235" xr:uid="{00000000-0005-0000-0000-0000C21C0000}"/>
    <cellStyle name="Percentuale 64" xfId="418" xr:uid="{00000000-0005-0000-0000-0000C31C0000}"/>
    <cellStyle name="Percentuale 64 2" xfId="3236" xr:uid="{00000000-0005-0000-0000-0000C41C0000}"/>
    <cellStyle name="Percentuale 65" xfId="419" xr:uid="{00000000-0005-0000-0000-0000C51C0000}"/>
    <cellStyle name="Percentuale 65 2" xfId="3237" xr:uid="{00000000-0005-0000-0000-0000C61C0000}"/>
    <cellStyle name="Percentuale 66" xfId="420" xr:uid="{00000000-0005-0000-0000-0000C71C0000}"/>
    <cellStyle name="Percentuale 66 2" xfId="3238" xr:uid="{00000000-0005-0000-0000-0000C81C0000}"/>
    <cellStyle name="Percentuale 67" xfId="421" xr:uid="{00000000-0005-0000-0000-0000C91C0000}"/>
    <cellStyle name="Percentuale 67 2" xfId="3239" xr:uid="{00000000-0005-0000-0000-0000CA1C0000}"/>
    <cellStyle name="Percentuale 68" xfId="422" xr:uid="{00000000-0005-0000-0000-0000CB1C0000}"/>
    <cellStyle name="Percentuale 68 2" xfId="651" xr:uid="{00000000-0005-0000-0000-0000CC1C0000}"/>
    <cellStyle name="Percentuale 68 2 2" xfId="3240" xr:uid="{00000000-0005-0000-0000-0000CD1C0000}"/>
    <cellStyle name="Percentuale 68 3" xfId="1974" xr:uid="{00000000-0005-0000-0000-0000CE1C0000}"/>
    <cellStyle name="Percentuale 68 3 2" xfId="1975" xr:uid="{00000000-0005-0000-0000-0000CF1C0000}"/>
    <cellStyle name="Percentuale 68 3 2 2" xfId="4419" xr:uid="{00000000-0005-0000-0000-0000D01C0000}"/>
    <cellStyle name="Percentuale 68 3 2 3" xfId="5438" xr:uid="{00000000-0005-0000-0000-0000D11C0000}"/>
    <cellStyle name="Percentuale 68 3 3" xfId="1976" xr:uid="{00000000-0005-0000-0000-0000D21C0000}"/>
    <cellStyle name="Percentuale 68 3 3 2" xfId="3242" xr:uid="{00000000-0005-0000-0000-0000D31C0000}"/>
    <cellStyle name="Percentuale 68 3 4" xfId="3241" xr:uid="{00000000-0005-0000-0000-0000D41C0000}"/>
    <cellStyle name="Percentuale 68 4" xfId="1977" xr:uid="{00000000-0005-0000-0000-0000D51C0000}"/>
    <cellStyle name="Percentuale 68 4 2" xfId="1978" xr:uid="{00000000-0005-0000-0000-0000D61C0000}"/>
    <cellStyle name="Percentuale 68 4 2 2" xfId="3244" xr:uid="{00000000-0005-0000-0000-0000D71C0000}"/>
    <cellStyle name="Percentuale 68 4 3" xfId="3243" xr:uid="{00000000-0005-0000-0000-0000D81C0000}"/>
    <cellStyle name="Percentuale 68 5" xfId="1979" xr:uid="{00000000-0005-0000-0000-0000D91C0000}"/>
    <cellStyle name="Percentuale 69" xfId="423" xr:uid="{00000000-0005-0000-0000-0000DA1C0000}"/>
    <cellStyle name="Percentuale 69 2" xfId="652" xr:uid="{00000000-0005-0000-0000-0000DB1C0000}"/>
    <cellStyle name="Percentuale 69 2 2" xfId="3245" xr:uid="{00000000-0005-0000-0000-0000DC1C0000}"/>
    <cellStyle name="Percentuale 69 3" xfId="1980" xr:uid="{00000000-0005-0000-0000-0000DD1C0000}"/>
    <cellStyle name="Percentuale 69 3 2" xfId="1981" xr:uid="{00000000-0005-0000-0000-0000DE1C0000}"/>
    <cellStyle name="Percentuale 69 3 2 2" xfId="4420" xr:uid="{00000000-0005-0000-0000-0000DF1C0000}"/>
    <cellStyle name="Percentuale 69 3 2 3" xfId="5439" xr:uid="{00000000-0005-0000-0000-0000E01C0000}"/>
    <cellStyle name="Percentuale 69 3 3" xfId="1982" xr:uid="{00000000-0005-0000-0000-0000E11C0000}"/>
    <cellStyle name="Percentuale 69 3 3 2" xfId="3247" xr:uid="{00000000-0005-0000-0000-0000E21C0000}"/>
    <cellStyle name="Percentuale 69 3 4" xfId="3246" xr:uid="{00000000-0005-0000-0000-0000E31C0000}"/>
    <cellStyle name="Percentuale 69 4" xfId="1983" xr:uid="{00000000-0005-0000-0000-0000E41C0000}"/>
    <cellStyle name="Percentuale 69 4 2" xfId="1984" xr:uid="{00000000-0005-0000-0000-0000E51C0000}"/>
    <cellStyle name="Percentuale 69 4 2 2" xfId="3249" xr:uid="{00000000-0005-0000-0000-0000E61C0000}"/>
    <cellStyle name="Percentuale 69 4 3" xfId="3248" xr:uid="{00000000-0005-0000-0000-0000E71C0000}"/>
    <cellStyle name="Percentuale 69 5" xfId="1985" xr:uid="{00000000-0005-0000-0000-0000E81C0000}"/>
    <cellStyle name="Percentuale 7" xfId="424" xr:uid="{00000000-0005-0000-0000-0000E91C0000}"/>
    <cellStyle name="Percentuale 7 2" xfId="653" xr:uid="{00000000-0005-0000-0000-0000EA1C0000}"/>
    <cellStyle name="Percentuale 7 2 2" xfId="3250" xr:uid="{00000000-0005-0000-0000-0000EB1C0000}"/>
    <cellStyle name="Percentuale 7 3" xfId="1986" xr:uid="{00000000-0005-0000-0000-0000EC1C0000}"/>
    <cellStyle name="Percentuale 7 3 2" xfId="1987" xr:uid="{00000000-0005-0000-0000-0000ED1C0000}"/>
    <cellStyle name="Percentuale 7 3 2 2" xfId="4421" xr:uid="{00000000-0005-0000-0000-0000EE1C0000}"/>
    <cellStyle name="Percentuale 7 3 2 3" xfId="5440" xr:uid="{00000000-0005-0000-0000-0000EF1C0000}"/>
    <cellStyle name="Percentuale 7 3 3" xfId="1988" xr:uid="{00000000-0005-0000-0000-0000F01C0000}"/>
    <cellStyle name="Percentuale 7 3 3 2" xfId="3252" xr:uid="{00000000-0005-0000-0000-0000F11C0000}"/>
    <cellStyle name="Percentuale 7 3 4" xfId="3251" xr:uid="{00000000-0005-0000-0000-0000F21C0000}"/>
    <cellStyle name="Percentuale 7 4" xfId="1989" xr:uid="{00000000-0005-0000-0000-0000F31C0000}"/>
    <cellStyle name="Percentuale 7 4 2" xfId="1990" xr:uid="{00000000-0005-0000-0000-0000F41C0000}"/>
    <cellStyle name="Percentuale 7 4 2 2" xfId="3254" xr:uid="{00000000-0005-0000-0000-0000F51C0000}"/>
    <cellStyle name="Percentuale 7 4 3" xfId="3253" xr:uid="{00000000-0005-0000-0000-0000F61C0000}"/>
    <cellStyle name="Percentuale 7 5" xfId="1991" xr:uid="{00000000-0005-0000-0000-0000F71C0000}"/>
    <cellStyle name="Percentuale 8" xfId="425" xr:uid="{00000000-0005-0000-0000-0000F81C0000}"/>
    <cellStyle name="Percentuale 8 2" xfId="654" xr:uid="{00000000-0005-0000-0000-0000F91C0000}"/>
    <cellStyle name="Percentuale 8 2 2" xfId="3255" xr:uid="{00000000-0005-0000-0000-0000FA1C0000}"/>
    <cellStyle name="Percentuale 8 3" xfId="1992" xr:uid="{00000000-0005-0000-0000-0000FB1C0000}"/>
    <cellStyle name="Percentuale 8 3 2" xfId="1993" xr:uid="{00000000-0005-0000-0000-0000FC1C0000}"/>
    <cellStyle name="Percentuale 8 3 2 2" xfId="4422" xr:uid="{00000000-0005-0000-0000-0000FD1C0000}"/>
    <cellStyle name="Percentuale 8 3 2 3" xfId="5441" xr:uid="{00000000-0005-0000-0000-0000FE1C0000}"/>
    <cellStyle name="Percentuale 8 3 3" xfId="1994" xr:uid="{00000000-0005-0000-0000-0000FF1C0000}"/>
    <cellStyle name="Percentuale 8 3 3 2" xfId="3257" xr:uid="{00000000-0005-0000-0000-0000001D0000}"/>
    <cellStyle name="Percentuale 8 3 4" xfId="3256" xr:uid="{00000000-0005-0000-0000-0000011D0000}"/>
    <cellStyle name="Percentuale 8 4" xfId="1995" xr:uid="{00000000-0005-0000-0000-0000021D0000}"/>
    <cellStyle name="Percentuale 8 4 2" xfId="1996" xr:uid="{00000000-0005-0000-0000-0000031D0000}"/>
    <cellStyle name="Percentuale 8 4 2 2" xfId="3259" xr:uid="{00000000-0005-0000-0000-0000041D0000}"/>
    <cellStyle name="Percentuale 8 4 3" xfId="3258" xr:uid="{00000000-0005-0000-0000-0000051D0000}"/>
    <cellStyle name="Percentuale 8 5" xfId="1997" xr:uid="{00000000-0005-0000-0000-0000061D0000}"/>
    <cellStyle name="Percentuale 9" xfId="426" xr:uid="{00000000-0005-0000-0000-0000071D0000}"/>
    <cellStyle name="Percentuale 9 2" xfId="655" xr:uid="{00000000-0005-0000-0000-0000081D0000}"/>
    <cellStyle name="Percentuale 9 2 2" xfId="3260" xr:uid="{00000000-0005-0000-0000-0000091D0000}"/>
    <cellStyle name="Percentuale 9 3" xfId="1998" xr:uid="{00000000-0005-0000-0000-00000A1D0000}"/>
    <cellStyle name="Percentuale 9 3 2" xfId="1999" xr:uid="{00000000-0005-0000-0000-00000B1D0000}"/>
    <cellStyle name="Percentuale 9 3 2 2" xfId="4423" xr:uid="{00000000-0005-0000-0000-00000C1D0000}"/>
    <cellStyle name="Percentuale 9 3 2 3" xfId="5442" xr:uid="{00000000-0005-0000-0000-00000D1D0000}"/>
    <cellStyle name="Percentuale 9 3 3" xfId="2000" xr:uid="{00000000-0005-0000-0000-00000E1D0000}"/>
    <cellStyle name="Percentuale 9 3 3 2" xfId="3262" xr:uid="{00000000-0005-0000-0000-00000F1D0000}"/>
    <cellStyle name="Percentuale 9 3 4" xfId="3261" xr:uid="{00000000-0005-0000-0000-0000101D0000}"/>
    <cellStyle name="Percentuale 9 4" xfId="2001" xr:uid="{00000000-0005-0000-0000-0000111D0000}"/>
    <cellStyle name="Percentuale 9 4 2" xfId="2002" xr:uid="{00000000-0005-0000-0000-0000121D0000}"/>
    <cellStyle name="Percentuale 9 4 2 2" xfId="3264" xr:uid="{00000000-0005-0000-0000-0000131D0000}"/>
    <cellStyle name="Percentuale 9 4 3" xfId="3263" xr:uid="{00000000-0005-0000-0000-0000141D0000}"/>
    <cellStyle name="Percentuale 9 5" xfId="2003" xr:uid="{00000000-0005-0000-0000-0000151D0000}"/>
    <cellStyle name="Procent 2" xfId="437" xr:uid="{00000000-0005-0000-0000-0000161D0000}"/>
    <cellStyle name="Procent 2 2" xfId="3265" xr:uid="{00000000-0005-0000-0000-0000171D0000}"/>
    <cellStyle name="Procent 2 2 2" xfId="4424" xr:uid="{00000000-0005-0000-0000-0000181D0000}"/>
    <cellStyle name="Procent 2 2 2 2" xfId="6383" xr:uid="{00000000-0005-0000-0000-0000191D0000}"/>
    <cellStyle name="Procent 2 2 2 3" xfId="7328" xr:uid="{00000000-0005-0000-0000-00001A1D0000}"/>
    <cellStyle name="Procent 2 2 2 4" xfId="7461" xr:uid="{00000000-0005-0000-0000-00001B1D0000}"/>
    <cellStyle name="Procent 2 2 3" xfId="4425" xr:uid="{00000000-0005-0000-0000-00001C1D0000}"/>
    <cellStyle name="Procent 2 2 4" xfId="6382" xr:uid="{00000000-0005-0000-0000-00001D1D0000}"/>
    <cellStyle name="Procent 2 2 5" xfId="7327" xr:uid="{00000000-0005-0000-0000-00001E1D0000}"/>
    <cellStyle name="Procent 2 2 6" xfId="7460" xr:uid="{00000000-0005-0000-0000-00001F1D0000}"/>
    <cellStyle name="Procent 3" xfId="2004" xr:uid="{00000000-0005-0000-0000-0000201D0000}"/>
    <cellStyle name="Procent 3 2" xfId="2005" xr:uid="{00000000-0005-0000-0000-0000211D0000}"/>
    <cellStyle name="Procent 3 2 2" xfId="4426" xr:uid="{00000000-0005-0000-0000-0000221D0000}"/>
    <cellStyle name="Procent 3 2 3" xfId="6385" xr:uid="{00000000-0005-0000-0000-0000231D0000}"/>
    <cellStyle name="Procent 3 2 4" xfId="7330" xr:uid="{00000000-0005-0000-0000-0000241D0000}"/>
    <cellStyle name="Procent 3 2 5" xfId="7463" xr:uid="{00000000-0005-0000-0000-0000251D0000}"/>
    <cellStyle name="Procent 3 2 6" xfId="5444" xr:uid="{00000000-0005-0000-0000-0000261D0000}"/>
    <cellStyle name="Procent 3 3" xfId="4427" xr:uid="{00000000-0005-0000-0000-0000271D0000}"/>
    <cellStyle name="Procent 3 4" xfId="6384" xr:uid="{00000000-0005-0000-0000-0000281D0000}"/>
    <cellStyle name="Procent 3 5" xfId="7329" xr:uid="{00000000-0005-0000-0000-0000291D0000}"/>
    <cellStyle name="Procent 3 6" xfId="7462" xr:uid="{00000000-0005-0000-0000-00002A1D0000}"/>
    <cellStyle name="Procent 3 7" xfId="5443" xr:uid="{00000000-0005-0000-0000-00002B1D0000}"/>
    <cellStyle name="Procent 4" xfId="2006" xr:uid="{00000000-0005-0000-0000-00002C1D0000}"/>
    <cellStyle name="Procent 4 2" xfId="3266" xr:uid="{00000000-0005-0000-0000-00002D1D0000}"/>
    <cellStyle name="Procent 4 2 2" xfId="6441" xr:uid="{00000000-0005-0000-0000-00002E1D0000}"/>
    <cellStyle name="Procent 4 2 3" xfId="7353" xr:uid="{00000000-0005-0000-0000-00002F1D0000}"/>
    <cellStyle name="Procent 4 2 4" xfId="7486" xr:uid="{00000000-0005-0000-0000-0000301D0000}"/>
    <cellStyle name="Procent 4 3" xfId="6440" xr:uid="{00000000-0005-0000-0000-0000311D0000}"/>
    <cellStyle name="Procent 4 4" xfId="7343" xr:uid="{00000000-0005-0000-0000-0000321D0000}"/>
    <cellStyle name="Procent 4 5" xfId="7476" xr:uid="{00000000-0005-0000-0000-0000331D0000}"/>
    <cellStyle name="Procent 5" xfId="5485" xr:uid="{00000000-0005-0000-0000-0000341D0000}"/>
    <cellStyle name="Standard_Sce_D_Extraction" xfId="2007" xr:uid="{00000000-0005-0000-0000-0000351D0000}"/>
    <cellStyle name="Style 155" xfId="4428" xr:uid="{00000000-0005-0000-0000-0000361D0000}"/>
    <cellStyle name="Style 155 2" xfId="5445" xr:uid="{00000000-0005-0000-0000-0000371D0000}"/>
    <cellStyle name="Style 155 3" xfId="7521" xr:uid="{00000000-0005-0000-0000-0000381D0000}"/>
    <cellStyle name="Style 155 4" xfId="7593" xr:uid="{00000000-0005-0000-0000-0000391D0000}"/>
    <cellStyle name="Style 155 5" xfId="7670" xr:uid="{00000000-0005-0000-0000-00003A1D0000}"/>
    <cellStyle name="Style 156" xfId="4429" xr:uid="{00000000-0005-0000-0000-00003B1D0000}"/>
    <cellStyle name="Style 157" xfId="4430" xr:uid="{00000000-0005-0000-0000-00003C1D0000}"/>
    <cellStyle name="Style 157 2" xfId="5446" xr:uid="{00000000-0005-0000-0000-00003D1D0000}"/>
    <cellStyle name="Style 157 3" xfId="7522" xr:uid="{00000000-0005-0000-0000-00003E1D0000}"/>
    <cellStyle name="Style 157 4" xfId="7594" xr:uid="{00000000-0005-0000-0000-00003F1D0000}"/>
    <cellStyle name="Style 157 5" xfId="7671" xr:uid="{00000000-0005-0000-0000-0000401D0000}"/>
    <cellStyle name="Style 158" xfId="4431" xr:uid="{00000000-0005-0000-0000-0000411D0000}"/>
    <cellStyle name="Style 158 2" xfId="5447" xr:uid="{00000000-0005-0000-0000-0000421D0000}"/>
    <cellStyle name="Style 158 3" xfId="7523" xr:uid="{00000000-0005-0000-0000-0000431D0000}"/>
    <cellStyle name="Style 158 4" xfId="7595" xr:uid="{00000000-0005-0000-0000-0000441D0000}"/>
    <cellStyle name="Style 158 5" xfId="7672" xr:uid="{00000000-0005-0000-0000-0000451D0000}"/>
    <cellStyle name="Style 159" xfId="4432" xr:uid="{00000000-0005-0000-0000-0000461D0000}"/>
    <cellStyle name="Style 161" xfId="4433" xr:uid="{00000000-0005-0000-0000-0000471D0000}"/>
    <cellStyle name="Style 161 2" xfId="5448" xr:uid="{00000000-0005-0000-0000-0000481D0000}"/>
    <cellStyle name="Style 161 3" xfId="7524" xr:uid="{00000000-0005-0000-0000-0000491D0000}"/>
    <cellStyle name="Style 161 4" xfId="7596" xr:uid="{00000000-0005-0000-0000-00004A1D0000}"/>
    <cellStyle name="Style 161 5" xfId="7673" xr:uid="{00000000-0005-0000-0000-00004B1D0000}"/>
    <cellStyle name="Style 162" xfId="4434" xr:uid="{00000000-0005-0000-0000-00004C1D0000}"/>
    <cellStyle name="Style 162 2" xfId="5449" xr:uid="{00000000-0005-0000-0000-00004D1D0000}"/>
    <cellStyle name="Style 162 3" xfId="7525" xr:uid="{00000000-0005-0000-0000-00004E1D0000}"/>
    <cellStyle name="Style 162 4" xfId="7597" xr:uid="{00000000-0005-0000-0000-00004F1D0000}"/>
    <cellStyle name="Style 162 5" xfId="7674" xr:uid="{00000000-0005-0000-0000-0000501D0000}"/>
    <cellStyle name="Style 163" xfId="4435" xr:uid="{00000000-0005-0000-0000-0000511D0000}"/>
    <cellStyle name="Style 163 2" xfId="5450" xr:uid="{00000000-0005-0000-0000-0000521D0000}"/>
    <cellStyle name="Style 163 3" xfId="7526" xr:uid="{00000000-0005-0000-0000-0000531D0000}"/>
    <cellStyle name="Style 163 4" xfId="7598" xr:uid="{00000000-0005-0000-0000-0000541D0000}"/>
    <cellStyle name="Style 163 5" xfId="7675" xr:uid="{00000000-0005-0000-0000-0000551D0000}"/>
    <cellStyle name="Style 223" xfId="4436" xr:uid="{00000000-0005-0000-0000-0000561D0000}"/>
    <cellStyle name="Style 223 2" xfId="5451" xr:uid="{00000000-0005-0000-0000-0000571D0000}"/>
    <cellStyle name="Style 223 3" xfId="7527" xr:uid="{00000000-0005-0000-0000-0000581D0000}"/>
    <cellStyle name="Style 223 4" xfId="7599" xr:uid="{00000000-0005-0000-0000-0000591D0000}"/>
    <cellStyle name="Style 223 5" xfId="7676" xr:uid="{00000000-0005-0000-0000-00005A1D0000}"/>
    <cellStyle name="Style 224" xfId="4437" xr:uid="{00000000-0005-0000-0000-00005B1D0000}"/>
    <cellStyle name="Style 225" xfId="4438" xr:uid="{00000000-0005-0000-0000-00005C1D0000}"/>
    <cellStyle name="Style 225 2" xfId="5452" xr:uid="{00000000-0005-0000-0000-00005D1D0000}"/>
    <cellStyle name="Style 225 3" xfId="7528" xr:uid="{00000000-0005-0000-0000-00005E1D0000}"/>
    <cellStyle name="Style 225 4" xfId="7600" xr:uid="{00000000-0005-0000-0000-00005F1D0000}"/>
    <cellStyle name="Style 225 5" xfId="7677" xr:uid="{00000000-0005-0000-0000-0000601D0000}"/>
    <cellStyle name="Style 226" xfId="4439" xr:uid="{00000000-0005-0000-0000-0000611D0000}"/>
    <cellStyle name="Style 226 2" xfId="5453" xr:uid="{00000000-0005-0000-0000-0000621D0000}"/>
    <cellStyle name="Style 226 3" xfId="7529" xr:uid="{00000000-0005-0000-0000-0000631D0000}"/>
    <cellStyle name="Style 226 4" xfId="7601" xr:uid="{00000000-0005-0000-0000-0000641D0000}"/>
    <cellStyle name="Style 226 5" xfId="7678" xr:uid="{00000000-0005-0000-0000-0000651D0000}"/>
    <cellStyle name="Style 227" xfId="4440" xr:uid="{00000000-0005-0000-0000-0000661D0000}"/>
    <cellStyle name="Style 229" xfId="4441" xr:uid="{00000000-0005-0000-0000-0000671D0000}"/>
    <cellStyle name="Style 229 2" xfId="5454" xr:uid="{00000000-0005-0000-0000-0000681D0000}"/>
    <cellStyle name="Style 229 3" xfId="7530" xr:uid="{00000000-0005-0000-0000-0000691D0000}"/>
    <cellStyle name="Style 229 4" xfId="7602" xr:uid="{00000000-0005-0000-0000-00006A1D0000}"/>
    <cellStyle name="Style 229 5" xfId="7679" xr:uid="{00000000-0005-0000-0000-00006B1D0000}"/>
    <cellStyle name="Style 230" xfId="4442" xr:uid="{00000000-0005-0000-0000-00006C1D0000}"/>
    <cellStyle name="Style 230 2" xfId="5455" xr:uid="{00000000-0005-0000-0000-00006D1D0000}"/>
    <cellStyle name="Style 230 3" xfId="7531" xr:uid="{00000000-0005-0000-0000-00006E1D0000}"/>
    <cellStyle name="Style 230 4" xfId="7603" xr:uid="{00000000-0005-0000-0000-00006F1D0000}"/>
    <cellStyle name="Style 230 5" xfId="7680" xr:uid="{00000000-0005-0000-0000-0000701D0000}"/>
    <cellStyle name="Style 231" xfId="4443" xr:uid="{00000000-0005-0000-0000-0000711D0000}"/>
    <cellStyle name="Style 231 2" xfId="5456" xr:uid="{00000000-0005-0000-0000-0000721D0000}"/>
    <cellStyle name="Style 231 3" xfId="7532" xr:uid="{00000000-0005-0000-0000-0000731D0000}"/>
    <cellStyle name="Style 231 4" xfId="7604" xr:uid="{00000000-0005-0000-0000-0000741D0000}"/>
    <cellStyle name="Style 231 5" xfId="7681" xr:uid="{00000000-0005-0000-0000-0000751D0000}"/>
    <cellStyle name="Style 257" xfId="4444" xr:uid="{00000000-0005-0000-0000-0000761D0000}"/>
    <cellStyle name="Style 257 2" xfId="5457" xr:uid="{00000000-0005-0000-0000-0000771D0000}"/>
    <cellStyle name="Style 257 3" xfId="7533" xr:uid="{00000000-0005-0000-0000-0000781D0000}"/>
    <cellStyle name="Style 257 4" xfId="7605" xr:uid="{00000000-0005-0000-0000-0000791D0000}"/>
    <cellStyle name="Style 257 5" xfId="7682" xr:uid="{00000000-0005-0000-0000-00007A1D0000}"/>
    <cellStyle name="Style 258" xfId="4445" xr:uid="{00000000-0005-0000-0000-00007B1D0000}"/>
    <cellStyle name="Style 259" xfId="4446" xr:uid="{00000000-0005-0000-0000-00007C1D0000}"/>
    <cellStyle name="Style 259 2" xfId="5458" xr:uid="{00000000-0005-0000-0000-00007D1D0000}"/>
    <cellStyle name="Style 259 3" xfId="7534" xr:uid="{00000000-0005-0000-0000-00007E1D0000}"/>
    <cellStyle name="Style 259 4" xfId="7606" xr:uid="{00000000-0005-0000-0000-00007F1D0000}"/>
    <cellStyle name="Style 259 5" xfId="7683" xr:uid="{00000000-0005-0000-0000-0000801D0000}"/>
    <cellStyle name="Style 260" xfId="4447" xr:uid="{00000000-0005-0000-0000-0000811D0000}"/>
    <cellStyle name="Style 260 2" xfId="5459" xr:uid="{00000000-0005-0000-0000-0000821D0000}"/>
    <cellStyle name="Style 260 3" xfId="7535" xr:uid="{00000000-0005-0000-0000-0000831D0000}"/>
    <cellStyle name="Style 260 4" xfId="7607" xr:uid="{00000000-0005-0000-0000-0000841D0000}"/>
    <cellStyle name="Style 260 5" xfId="7684" xr:uid="{00000000-0005-0000-0000-0000851D0000}"/>
    <cellStyle name="Style 261" xfId="4448" xr:uid="{00000000-0005-0000-0000-0000861D0000}"/>
    <cellStyle name="Style 263" xfId="4449" xr:uid="{00000000-0005-0000-0000-0000871D0000}"/>
    <cellStyle name="Style 263 2" xfId="5460" xr:uid="{00000000-0005-0000-0000-0000881D0000}"/>
    <cellStyle name="Style 263 3" xfId="7536" xr:uid="{00000000-0005-0000-0000-0000891D0000}"/>
    <cellStyle name="Style 263 4" xfId="7608" xr:uid="{00000000-0005-0000-0000-00008A1D0000}"/>
    <cellStyle name="Style 263 5" xfId="7685" xr:uid="{00000000-0005-0000-0000-00008B1D0000}"/>
    <cellStyle name="Style 264" xfId="4450" xr:uid="{00000000-0005-0000-0000-00008C1D0000}"/>
    <cellStyle name="Style 264 2" xfId="5461" xr:uid="{00000000-0005-0000-0000-00008D1D0000}"/>
    <cellStyle name="Style 264 3" xfId="7537" xr:uid="{00000000-0005-0000-0000-00008E1D0000}"/>
    <cellStyle name="Style 264 4" xfId="7609" xr:uid="{00000000-0005-0000-0000-00008F1D0000}"/>
    <cellStyle name="Style 264 5" xfId="7686" xr:uid="{00000000-0005-0000-0000-0000901D0000}"/>
    <cellStyle name="Style 265" xfId="4451" xr:uid="{00000000-0005-0000-0000-0000911D0000}"/>
    <cellStyle name="Style 265 2" xfId="5462" xr:uid="{00000000-0005-0000-0000-0000921D0000}"/>
    <cellStyle name="Style 265 3" xfId="7538" xr:uid="{00000000-0005-0000-0000-0000931D0000}"/>
    <cellStyle name="Style 265 4" xfId="7610" xr:uid="{00000000-0005-0000-0000-0000941D0000}"/>
    <cellStyle name="Style 265 5" xfId="7687" xr:uid="{00000000-0005-0000-0000-0000951D0000}"/>
    <cellStyle name="Style 461" xfId="4452" xr:uid="{00000000-0005-0000-0000-0000961D0000}"/>
    <cellStyle name="Style 461 2" xfId="5463" xr:uid="{00000000-0005-0000-0000-0000971D0000}"/>
    <cellStyle name="Style 461 3" xfId="7539" xr:uid="{00000000-0005-0000-0000-0000981D0000}"/>
    <cellStyle name="Style 461 4" xfId="7611" xr:uid="{00000000-0005-0000-0000-0000991D0000}"/>
    <cellStyle name="Style 461 5" xfId="7688" xr:uid="{00000000-0005-0000-0000-00009A1D0000}"/>
    <cellStyle name="Style 467" xfId="4453" xr:uid="{00000000-0005-0000-0000-00009B1D0000}"/>
    <cellStyle name="Style 467 2" xfId="5464" xr:uid="{00000000-0005-0000-0000-00009C1D0000}"/>
    <cellStyle name="Style 467 3" xfId="7540" xr:uid="{00000000-0005-0000-0000-00009D1D0000}"/>
    <cellStyle name="Style 467 4" xfId="7612" xr:uid="{00000000-0005-0000-0000-00009E1D0000}"/>
    <cellStyle name="Style 467 5" xfId="7689" xr:uid="{00000000-0005-0000-0000-00009F1D0000}"/>
    <cellStyle name="Style 468" xfId="4454" xr:uid="{00000000-0005-0000-0000-0000A01D0000}"/>
    <cellStyle name="Style 468 2" xfId="5465" xr:uid="{00000000-0005-0000-0000-0000A11D0000}"/>
    <cellStyle name="Style 468 3" xfId="7541" xr:uid="{00000000-0005-0000-0000-0000A21D0000}"/>
    <cellStyle name="Style 468 4" xfId="7613" xr:uid="{00000000-0005-0000-0000-0000A31D0000}"/>
    <cellStyle name="Style 468 5" xfId="7690" xr:uid="{00000000-0005-0000-0000-0000A41D0000}"/>
    <cellStyle name="Style 469" xfId="4455" xr:uid="{00000000-0005-0000-0000-0000A51D0000}"/>
    <cellStyle name="Style 469 2" xfId="5466" xr:uid="{00000000-0005-0000-0000-0000A61D0000}"/>
    <cellStyle name="Style 469 3" xfId="7542" xr:uid="{00000000-0005-0000-0000-0000A71D0000}"/>
    <cellStyle name="Style 469 4" xfId="7614" xr:uid="{00000000-0005-0000-0000-0000A81D0000}"/>
    <cellStyle name="Style 469 5" xfId="7691" xr:uid="{00000000-0005-0000-0000-0000A91D0000}"/>
    <cellStyle name="Style 478" xfId="4456" xr:uid="{00000000-0005-0000-0000-0000AA1D0000}"/>
    <cellStyle name="Style 478 2" xfId="5467" xr:uid="{00000000-0005-0000-0000-0000AB1D0000}"/>
    <cellStyle name="Style 478 3" xfId="7543" xr:uid="{00000000-0005-0000-0000-0000AC1D0000}"/>
    <cellStyle name="Style 478 4" xfId="7615" xr:uid="{00000000-0005-0000-0000-0000AD1D0000}"/>
    <cellStyle name="Style 478 5" xfId="7692" xr:uid="{00000000-0005-0000-0000-0000AE1D0000}"/>
    <cellStyle name="Style 479" xfId="4457" xr:uid="{00000000-0005-0000-0000-0000AF1D0000}"/>
    <cellStyle name="Style 480" xfId="4458" xr:uid="{00000000-0005-0000-0000-0000B01D0000}"/>
    <cellStyle name="Style 480 2" xfId="5468" xr:uid="{00000000-0005-0000-0000-0000B11D0000}"/>
    <cellStyle name="Style 480 3" xfId="7544" xr:uid="{00000000-0005-0000-0000-0000B21D0000}"/>
    <cellStyle name="Style 480 4" xfId="7616" xr:uid="{00000000-0005-0000-0000-0000B31D0000}"/>
    <cellStyle name="Style 480 5" xfId="7693" xr:uid="{00000000-0005-0000-0000-0000B41D0000}"/>
    <cellStyle name="Style 481" xfId="4459" xr:uid="{00000000-0005-0000-0000-0000B51D0000}"/>
    <cellStyle name="Style 481 2" xfId="5469" xr:uid="{00000000-0005-0000-0000-0000B61D0000}"/>
    <cellStyle name="Style 481 3" xfId="7545" xr:uid="{00000000-0005-0000-0000-0000B71D0000}"/>
    <cellStyle name="Style 481 4" xfId="7617" xr:uid="{00000000-0005-0000-0000-0000B81D0000}"/>
    <cellStyle name="Style 481 5" xfId="7694" xr:uid="{00000000-0005-0000-0000-0000B91D0000}"/>
    <cellStyle name="Style 482" xfId="4460" xr:uid="{00000000-0005-0000-0000-0000BA1D0000}"/>
    <cellStyle name="Style 484" xfId="4461" xr:uid="{00000000-0005-0000-0000-0000BB1D0000}"/>
    <cellStyle name="Style 484 2" xfId="5470" xr:uid="{00000000-0005-0000-0000-0000BC1D0000}"/>
    <cellStyle name="Style 484 3" xfId="7546" xr:uid="{00000000-0005-0000-0000-0000BD1D0000}"/>
    <cellStyle name="Style 484 4" xfId="7618" xr:uid="{00000000-0005-0000-0000-0000BE1D0000}"/>
    <cellStyle name="Style 484 5" xfId="7695" xr:uid="{00000000-0005-0000-0000-0000BF1D0000}"/>
    <cellStyle name="Style 485" xfId="4462" xr:uid="{00000000-0005-0000-0000-0000C01D0000}"/>
    <cellStyle name="Style 485 2" xfId="5471" xr:uid="{00000000-0005-0000-0000-0000C11D0000}"/>
    <cellStyle name="Style 485 3" xfId="7547" xr:uid="{00000000-0005-0000-0000-0000C21D0000}"/>
    <cellStyle name="Style 485 4" xfId="7619" xr:uid="{00000000-0005-0000-0000-0000C31D0000}"/>
    <cellStyle name="Style 485 5" xfId="7696" xr:uid="{00000000-0005-0000-0000-0000C41D0000}"/>
    <cellStyle name="Style 486" xfId="4463" xr:uid="{00000000-0005-0000-0000-0000C51D0000}"/>
    <cellStyle name="Style 486 2" xfId="5472" xr:uid="{00000000-0005-0000-0000-0000C61D0000}"/>
    <cellStyle name="Style 486 3" xfId="7548" xr:uid="{00000000-0005-0000-0000-0000C71D0000}"/>
    <cellStyle name="Style 486 4" xfId="7620" xr:uid="{00000000-0005-0000-0000-0000C81D0000}"/>
    <cellStyle name="Style 486 5" xfId="7697" xr:uid="{00000000-0005-0000-0000-0000C91D0000}"/>
    <cellStyle name="Style 495" xfId="4464" xr:uid="{00000000-0005-0000-0000-0000CA1D0000}"/>
    <cellStyle name="Style 495 2" xfId="5473" xr:uid="{00000000-0005-0000-0000-0000CB1D0000}"/>
    <cellStyle name="Style 495 3" xfId="7549" xr:uid="{00000000-0005-0000-0000-0000CC1D0000}"/>
    <cellStyle name="Style 495 4" xfId="7621" xr:uid="{00000000-0005-0000-0000-0000CD1D0000}"/>
    <cellStyle name="Style 495 5" xfId="7698" xr:uid="{00000000-0005-0000-0000-0000CE1D0000}"/>
    <cellStyle name="Style 496" xfId="4465" xr:uid="{00000000-0005-0000-0000-0000CF1D0000}"/>
    <cellStyle name="Style 497" xfId="4466" xr:uid="{00000000-0005-0000-0000-0000D01D0000}"/>
    <cellStyle name="Style 497 2" xfId="5474" xr:uid="{00000000-0005-0000-0000-0000D11D0000}"/>
    <cellStyle name="Style 497 3" xfId="7550" xr:uid="{00000000-0005-0000-0000-0000D21D0000}"/>
    <cellStyle name="Style 497 4" xfId="7622" xr:uid="{00000000-0005-0000-0000-0000D31D0000}"/>
    <cellStyle name="Style 497 5" xfId="7699" xr:uid="{00000000-0005-0000-0000-0000D41D0000}"/>
    <cellStyle name="Style 498" xfId="4467" xr:uid="{00000000-0005-0000-0000-0000D51D0000}"/>
    <cellStyle name="Style 498 2" xfId="5475" xr:uid="{00000000-0005-0000-0000-0000D61D0000}"/>
    <cellStyle name="Style 498 3" xfId="7551" xr:uid="{00000000-0005-0000-0000-0000D71D0000}"/>
    <cellStyle name="Style 498 4" xfId="7623" xr:uid="{00000000-0005-0000-0000-0000D81D0000}"/>
    <cellStyle name="Style 498 5" xfId="7700" xr:uid="{00000000-0005-0000-0000-0000D91D0000}"/>
    <cellStyle name="Style 499" xfId="4468" xr:uid="{00000000-0005-0000-0000-0000DA1D0000}"/>
    <cellStyle name="Style 501" xfId="4469" xr:uid="{00000000-0005-0000-0000-0000DB1D0000}"/>
    <cellStyle name="Style 501 2" xfId="5476" xr:uid="{00000000-0005-0000-0000-0000DC1D0000}"/>
    <cellStyle name="Style 501 3" xfId="7552" xr:uid="{00000000-0005-0000-0000-0000DD1D0000}"/>
    <cellStyle name="Style 501 4" xfId="7624" xr:uid="{00000000-0005-0000-0000-0000DE1D0000}"/>
    <cellStyle name="Style 501 5" xfId="7701" xr:uid="{00000000-0005-0000-0000-0000DF1D0000}"/>
    <cellStyle name="Style 502" xfId="4470" xr:uid="{00000000-0005-0000-0000-0000E01D0000}"/>
    <cellStyle name="Style 502 2" xfId="5477" xr:uid="{00000000-0005-0000-0000-0000E11D0000}"/>
    <cellStyle name="Style 502 3" xfId="7553" xr:uid="{00000000-0005-0000-0000-0000E21D0000}"/>
    <cellStyle name="Style 502 4" xfId="7625" xr:uid="{00000000-0005-0000-0000-0000E31D0000}"/>
    <cellStyle name="Style 502 5" xfId="7702" xr:uid="{00000000-0005-0000-0000-0000E41D0000}"/>
    <cellStyle name="Style 503" xfId="4471" xr:uid="{00000000-0005-0000-0000-0000E51D0000}"/>
    <cellStyle name="Style 503 2" xfId="5478" xr:uid="{00000000-0005-0000-0000-0000E61D0000}"/>
    <cellStyle name="Style 503 3" xfId="7554" xr:uid="{00000000-0005-0000-0000-0000E71D0000}"/>
    <cellStyle name="Style 503 4" xfId="7626" xr:uid="{00000000-0005-0000-0000-0000E81D0000}"/>
    <cellStyle name="Style 503 5" xfId="7703" xr:uid="{00000000-0005-0000-0000-0000E91D0000}"/>
    <cellStyle name="Style 580" xfId="4472" xr:uid="{00000000-0005-0000-0000-0000EA1D0000}"/>
    <cellStyle name="Style 580 2" xfId="5479" xr:uid="{00000000-0005-0000-0000-0000EB1D0000}"/>
    <cellStyle name="Style 580 3" xfId="7555" xr:uid="{00000000-0005-0000-0000-0000EC1D0000}"/>
    <cellStyle name="Style 580 4" xfId="7627" xr:uid="{00000000-0005-0000-0000-0000ED1D0000}"/>
    <cellStyle name="Style 580 5" xfId="7704" xr:uid="{00000000-0005-0000-0000-0000EE1D0000}"/>
    <cellStyle name="Style 581" xfId="4473" xr:uid="{00000000-0005-0000-0000-0000EF1D0000}"/>
    <cellStyle name="Style 582" xfId="4474" xr:uid="{00000000-0005-0000-0000-0000F01D0000}"/>
    <cellStyle name="Style 582 2" xfId="5480" xr:uid="{00000000-0005-0000-0000-0000F11D0000}"/>
    <cellStyle name="Style 582 3" xfId="7556" xr:uid="{00000000-0005-0000-0000-0000F21D0000}"/>
    <cellStyle name="Style 582 4" xfId="7628" xr:uid="{00000000-0005-0000-0000-0000F31D0000}"/>
    <cellStyle name="Style 582 5" xfId="7705" xr:uid="{00000000-0005-0000-0000-0000F41D0000}"/>
    <cellStyle name="Style 583" xfId="4475" xr:uid="{00000000-0005-0000-0000-0000F51D0000}"/>
    <cellStyle name="Style 583 2" xfId="5481" xr:uid="{00000000-0005-0000-0000-0000F61D0000}"/>
    <cellStyle name="Style 583 3" xfId="7557" xr:uid="{00000000-0005-0000-0000-0000F71D0000}"/>
    <cellStyle name="Style 583 4" xfId="7629" xr:uid="{00000000-0005-0000-0000-0000F81D0000}"/>
    <cellStyle name="Style 583 5" xfId="7706" xr:uid="{00000000-0005-0000-0000-0000F91D0000}"/>
    <cellStyle name="Style 584" xfId="4476" xr:uid="{00000000-0005-0000-0000-0000FA1D0000}"/>
    <cellStyle name="Style 586" xfId="4477" xr:uid="{00000000-0005-0000-0000-0000FB1D0000}"/>
    <cellStyle name="Style 586 2" xfId="5482" xr:uid="{00000000-0005-0000-0000-0000FC1D0000}"/>
    <cellStyle name="Style 586 3" xfId="7558" xr:uid="{00000000-0005-0000-0000-0000FD1D0000}"/>
    <cellStyle name="Style 586 4" xfId="7630" xr:uid="{00000000-0005-0000-0000-0000FE1D0000}"/>
    <cellStyle name="Style 586 5" xfId="7707" xr:uid="{00000000-0005-0000-0000-0000FF1D0000}"/>
    <cellStyle name="Style 587" xfId="4478" xr:uid="{00000000-0005-0000-0000-0000001E0000}"/>
    <cellStyle name="Style 587 2" xfId="5483" xr:uid="{00000000-0005-0000-0000-0000011E0000}"/>
    <cellStyle name="Style 587 3" xfId="7559" xr:uid="{00000000-0005-0000-0000-0000021E0000}"/>
    <cellStyle name="Style 587 4" xfId="7631" xr:uid="{00000000-0005-0000-0000-0000031E0000}"/>
    <cellStyle name="Style 587 5" xfId="7708" xr:uid="{00000000-0005-0000-0000-0000041E0000}"/>
    <cellStyle name="Style 588" xfId="4479" xr:uid="{00000000-0005-0000-0000-0000051E0000}"/>
    <cellStyle name="Style 588 2" xfId="5484" xr:uid="{00000000-0005-0000-0000-0000061E0000}"/>
    <cellStyle name="Style 588 3" xfId="7560" xr:uid="{00000000-0005-0000-0000-0000071E0000}"/>
    <cellStyle name="Style 588 4" xfId="7632" xr:uid="{00000000-0005-0000-0000-0000081E0000}"/>
    <cellStyle name="Style 588 5" xfId="7709" xr:uid="{00000000-0005-0000-0000-0000091E0000}"/>
    <cellStyle name="Testo avviso" xfId="427" xr:uid="{00000000-0005-0000-0000-00000A1E0000}"/>
    <cellStyle name="Testo descrittivo" xfId="428" xr:uid="{00000000-0005-0000-0000-00000B1E0000}"/>
    <cellStyle name="Titolo" xfId="429" xr:uid="{00000000-0005-0000-0000-00000C1E0000}"/>
    <cellStyle name="Titolo 1" xfId="430" xr:uid="{00000000-0005-0000-0000-00000D1E0000}"/>
    <cellStyle name="Titolo 1 2" xfId="4480" xr:uid="{00000000-0005-0000-0000-00000E1E0000}"/>
    <cellStyle name="Titolo 2" xfId="431" xr:uid="{00000000-0005-0000-0000-00000F1E0000}"/>
    <cellStyle name="Titolo 2 2" xfId="4481" xr:uid="{00000000-0005-0000-0000-0000101E0000}"/>
    <cellStyle name="Titolo 3" xfId="432" xr:uid="{00000000-0005-0000-0000-0000111E0000}"/>
    <cellStyle name="Titolo 3 2" xfId="4482" xr:uid="{00000000-0005-0000-0000-0000121E0000}"/>
    <cellStyle name="Titolo 4" xfId="433" xr:uid="{00000000-0005-0000-0000-0000131E0000}"/>
    <cellStyle name="Total 2" xfId="443" xr:uid="{00000000-0005-0000-0000-0000141E0000}"/>
    <cellStyle name="Total 2 2" xfId="4483" xr:uid="{00000000-0005-0000-0000-0000151E0000}"/>
    <cellStyle name="Total 2 2 2" xfId="7711" xr:uid="{00000000-0005-0000-0000-0000161E0000}"/>
    <cellStyle name="Total 2 3" xfId="7710" xr:uid="{00000000-0005-0000-0000-0000171E0000}"/>
    <cellStyle name="Totale" xfId="434" xr:uid="{00000000-0005-0000-0000-0000181E0000}"/>
    <cellStyle name="Totale 2" xfId="4484" xr:uid="{00000000-0005-0000-0000-0000191E0000}"/>
    <cellStyle name="Totale 2 2" xfId="4485" xr:uid="{00000000-0005-0000-0000-00001A1E0000}"/>
    <cellStyle name="Totale 2 2 2" xfId="7714" xr:uid="{00000000-0005-0000-0000-00001B1E0000}"/>
    <cellStyle name="Totale 2 3" xfId="7713" xr:uid="{00000000-0005-0000-0000-00001C1E0000}"/>
    <cellStyle name="Totale 3" xfId="4486" xr:uid="{00000000-0005-0000-0000-00001D1E0000}"/>
    <cellStyle name="Totale 3 2" xfId="4487" xr:uid="{00000000-0005-0000-0000-00001E1E0000}"/>
    <cellStyle name="Totale 3 2 2" xfId="7716" xr:uid="{00000000-0005-0000-0000-00001F1E0000}"/>
    <cellStyle name="Totale 3 3" xfId="7715" xr:uid="{00000000-0005-0000-0000-0000201E0000}"/>
    <cellStyle name="Totale 4" xfId="4488" xr:uid="{00000000-0005-0000-0000-0000211E0000}"/>
    <cellStyle name="Totale 4 2" xfId="7717" xr:uid="{00000000-0005-0000-0000-0000221E0000}"/>
    <cellStyle name="Totale 5" xfId="7712" xr:uid="{00000000-0005-0000-0000-0000231E0000}"/>
    <cellStyle name="Ugyldig 2" xfId="4492" xr:uid="{00000000-0005-0000-0000-0000241E0000}"/>
    <cellStyle name="Uncertain" xfId="2008" xr:uid="{00000000-0005-0000-0000-0000251E0000}"/>
    <cellStyle name="Valore non valido" xfId="435" xr:uid="{00000000-0005-0000-0000-0000261E0000}"/>
    <cellStyle name="Valore valido" xfId="11" xr:uid="{00000000-0005-0000-0000-0000271E0000}"/>
    <cellStyle name="Years" xfId="2009" xr:uid="{00000000-0005-0000-0000-0000281E0000}"/>
    <cellStyle name="Обычный_CRF2002 (1)" xfId="2010" xr:uid="{00000000-0005-0000-0000-0000291E000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33" Type="http://schemas.openxmlformats.org/officeDocument/2006/relationships/externalLink" Target="externalLinks/externalLink10.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externalLink" Target="externalLinks/externalLink9.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5.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4.xml"/><Relationship Id="rId30" Type="http://schemas.openxmlformats.org/officeDocument/2006/relationships/externalLink" Target="externalLinks/externalLink7.xml"/><Relationship Id="rId35"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542925</xdr:colOff>
      <xdr:row>18</xdr:row>
      <xdr:rowOff>95250</xdr:rowOff>
    </xdr:from>
    <xdr:ext cx="2628900" cy="2847959"/>
    <xdr:sp macro="" textlink="">
      <xdr:nvSpPr>
        <xdr:cNvPr id="2" name="TextBox 1">
          <a:extLst>
            <a:ext uri="{FF2B5EF4-FFF2-40B4-BE49-F238E27FC236}">
              <a16:creationId xmlns:a16="http://schemas.microsoft.com/office/drawing/2014/main" id="{C3A08583-4E1E-462E-8409-B45190CCA492}"/>
            </a:ext>
          </a:extLst>
        </xdr:cNvPr>
        <xdr:cNvSpPr txBox="1"/>
      </xdr:nvSpPr>
      <xdr:spPr>
        <a:xfrm>
          <a:off x="7543800" y="3009900"/>
          <a:ext cx="2628900" cy="2847959"/>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sv-SE" sz="1100"/>
            <a:t>Martin</a:t>
          </a:r>
          <a:r>
            <a:rPr lang="sv-SE" sz="1100" baseline="0"/>
            <a:t> Hagberg 2019-09-30</a:t>
          </a:r>
        </a:p>
        <a:p>
          <a:endParaRPr lang="sv-SE" sz="1100" baseline="0"/>
        </a:p>
        <a:p>
          <a:r>
            <a:rPr lang="sv-SE" sz="1100" baseline="0"/>
            <a:t>I added the PRCCOMEMI table since CCSIND* technologies are not covered by the </a:t>
          </a:r>
          <a:r>
            <a:rPr lang="sv-SE" sz="1100" baseline="0">
              <a:solidFill>
                <a:schemeClr val="dk1"/>
              </a:solidFill>
              <a:effectLst/>
              <a:latin typeface="+mn-lt"/>
              <a:ea typeface="+mn-ea"/>
              <a:cs typeface="+mn-cs"/>
            </a:rPr>
            <a:t>PRCCOMEMI table in the VT files. Since CO2STO is counted as a negative emission in the CO2 constraint, also posivitive emssions are required for the CCS tehcs based on fossil fuels to be "CO2 neutral". </a:t>
          </a:r>
        </a:p>
        <a:p>
          <a:endParaRPr lang="sv-SE" sz="1100" baseline="0">
            <a:solidFill>
              <a:schemeClr val="dk1"/>
            </a:solidFill>
            <a:effectLst/>
            <a:latin typeface="+mn-lt"/>
            <a:ea typeface="+mn-ea"/>
            <a:cs typeface="+mn-cs"/>
          </a:endParaRPr>
        </a:p>
        <a:p>
          <a:r>
            <a:rPr lang="sv-SE" sz="1100" baseline="0">
              <a:solidFill>
                <a:schemeClr val="dk1"/>
              </a:solidFill>
              <a:effectLst/>
              <a:latin typeface="+mn-lt"/>
              <a:ea typeface="+mn-ea"/>
              <a:cs typeface="+mn-cs"/>
            </a:rPr>
            <a:t>Note that emissions from Industry subsectors have not been defined here (as has been done in the VT files). </a:t>
          </a:r>
          <a:endParaRPr lang="sv-SE" sz="1100" baseline="0"/>
        </a:p>
        <a:p>
          <a:endParaRPr lang="sv-SE" sz="1100" baseline="0"/>
        </a:p>
        <a:p>
          <a:endParaRPr lang="sv-SE" sz="1100" baseline="0"/>
        </a:p>
        <a:p>
          <a:endParaRPr lang="sv-SE"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60960</xdr:colOff>
      <xdr:row>4</xdr:row>
      <xdr:rowOff>53340</xdr:rowOff>
    </xdr:from>
    <xdr:ext cx="3973208" cy="1931035"/>
    <xdr:pic>
      <xdr:nvPicPr>
        <xdr:cNvPr id="2" name="Billede 1">
          <a:extLst>
            <a:ext uri="{FF2B5EF4-FFF2-40B4-BE49-F238E27FC236}">
              <a16:creationId xmlns:a16="http://schemas.microsoft.com/office/drawing/2014/main" id="{712FF343-FE15-4F5C-98E6-8B080932305A}"/>
            </a:ext>
          </a:extLst>
        </xdr:cNvPr>
        <xdr:cNvPicPr>
          <a:picLocks noChangeAspect="1"/>
        </xdr:cNvPicPr>
      </xdr:nvPicPr>
      <xdr:blipFill>
        <a:blip xmlns:r="http://schemas.openxmlformats.org/officeDocument/2006/relationships" r:embed="rId1"/>
        <a:stretch>
          <a:fillRect/>
        </a:stretch>
      </xdr:blipFill>
      <xdr:spPr>
        <a:xfrm>
          <a:off x="889635" y="815340"/>
          <a:ext cx="3973208" cy="1931035"/>
        </a:xfrm>
        <a:prstGeom prst="rect">
          <a:avLst/>
        </a:prstGeom>
      </xdr:spPr>
    </xdr:pic>
    <xdr:clientData/>
  </xdr:oneCellAnchor>
  <xdr:oneCellAnchor>
    <xdr:from>
      <xdr:col>1</xdr:col>
      <xdr:colOff>0</xdr:colOff>
      <xdr:row>17</xdr:row>
      <xdr:rowOff>0</xdr:rowOff>
    </xdr:from>
    <xdr:ext cx="4127500" cy="3363841"/>
    <xdr:pic>
      <xdr:nvPicPr>
        <xdr:cNvPr id="3" name="Billede 2">
          <a:extLst>
            <a:ext uri="{FF2B5EF4-FFF2-40B4-BE49-F238E27FC236}">
              <a16:creationId xmlns:a16="http://schemas.microsoft.com/office/drawing/2014/main" id="{5E7D8BD5-B8BC-4317-AF35-DCC8AFA3D3C4}"/>
            </a:ext>
          </a:extLst>
        </xdr:cNvPr>
        <xdr:cNvPicPr>
          <a:picLocks noChangeAspect="1"/>
        </xdr:cNvPicPr>
      </xdr:nvPicPr>
      <xdr:blipFill>
        <a:blip xmlns:r="http://schemas.openxmlformats.org/officeDocument/2006/relationships" r:embed="rId2"/>
        <a:stretch>
          <a:fillRect/>
        </a:stretch>
      </xdr:blipFill>
      <xdr:spPr>
        <a:xfrm>
          <a:off x="850900" y="3022600"/>
          <a:ext cx="4127500" cy="3363841"/>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AMSES/RAMSES%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TIMES-Nordic_EMS\VT_DK_ELC.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TIMES%20models/TIMES-DK/SubRES_TMPL/SubRes_ELC_Plants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Mikkel/TIMES-DK/SubRES_TMPL/SubRes_ELC_Plants202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Mikkel/TIMES-DK/SubRES_TMPL/SubRes_ELC_Plants20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RAMSES/Simuleringer/2012/2012-08-27/Rettelser_foretaget_i_DATA69_2010.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TIMES%20models/SubRes_ELC_CCS_Tech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C4">
            <v>1.49</v>
          </cell>
          <cell r="D4">
            <v>49.459722222222226</v>
          </cell>
        </row>
        <row r="5">
          <cell r="D5">
            <v>13.658333333333333</v>
          </cell>
        </row>
        <row r="13">
          <cell r="K13">
            <v>0.50496246926932964</v>
          </cell>
          <cell r="L13">
            <v>3.7239120160742436</v>
          </cell>
        </row>
        <row r="14">
          <cell r="K14">
            <v>0.20137038550580208</v>
          </cell>
          <cell r="L14">
            <v>1.9714828320393059</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 val="Adjusted 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 sheetId="6">
        <row r="13">
          <cell r="K13">
            <v>0.50496246926932964</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Adjusted O&amp;M waste and WIN "/>
      <sheetName val="O&amp;M waste and WIN "/>
    </sheetNames>
    <sheetDataSet>
      <sheetData sheetId="0"/>
      <sheetData sheetId="1"/>
      <sheetData sheetId="2"/>
      <sheetData sheetId="3"/>
      <sheetData sheetId="4"/>
      <sheetData sheetId="5">
        <row r="13">
          <cell r="K13">
            <v>0.50496246926932964</v>
          </cell>
        </row>
      </sheetData>
      <sheetData sheetId="6">
        <row r="13">
          <cell r="K13">
            <v>0.42080205772444135</v>
          </cell>
          <cell r="L13">
            <v>9.3097800401856112</v>
          </cell>
        </row>
        <row r="14">
          <cell r="K14">
            <v>0.1678086545881684</v>
          </cell>
          <cell r="L14">
            <v>4.928707080098266</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ELC_TechD"/>
      <sheetName val="ELC_ProcD"/>
      <sheetName val="Fuel"/>
      <sheetName val="O&amp;M waste and WIN "/>
    </sheetNames>
    <sheetDataSet>
      <sheetData sheetId="0"/>
      <sheetData sheetId="1"/>
      <sheetData sheetId="2"/>
      <sheetData sheetId="3"/>
      <sheetData sheetId="4">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CCS_Comm"/>
      <sheetName val="ELC_CCS_Processes"/>
      <sheetName val="SUP_FT_Process"/>
      <sheetName val="SUP_DAC"/>
      <sheetName val="ELC_CCS_N_CAP"/>
      <sheetName val="IND_CCS"/>
      <sheetName val="REFIT"/>
      <sheetName val="ELC_CCS_TRA"/>
      <sheetName val="ELC_CCS_STO"/>
      <sheetName val="Emissions"/>
      <sheetName val="Naming convention"/>
      <sheetName val="IND tech"/>
      <sheetName val="Adv fossil"/>
      <sheetName val="CCS"/>
      <sheetName val="Data_Dist_&amp;_CAP"/>
      <sheetName val="401.a Post comb - small CHP"/>
      <sheetName val="401.b Post comb - Large biomass"/>
      <sheetName val="401.c Post comb - Cement kiln"/>
      <sheetName val="402.a Oxy-fuel- Large Biomass"/>
      <sheetName val="402.b Oxy-fuel Cement"/>
      <sheetName val="403.a Direct air capture"/>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ow r="11">
          <cell r="F11">
            <v>56.95</v>
          </cell>
        </row>
      </sheetData>
      <sheetData sheetId="12" refreshError="1"/>
      <sheetData sheetId="13">
        <row r="3">
          <cell r="L3" t="str">
            <v>*EFF Original</v>
          </cell>
          <cell r="M3" t="str">
            <v>*COP</v>
          </cell>
          <cell r="N3" t="str">
            <v>LIFE</v>
          </cell>
          <cell r="O3" t="str">
            <v>INVCOST</v>
          </cell>
          <cell r="P3" t="str">
            <v>FIXOM</v>
          </cell>
          <cell r="Q3" t="str">
            <v>VAROM</v>
          </cell>
          <cell r="R3" t="str">
            <v>CAP2ACT</v>
          </cell>
          <cell r="S3" t="str">
            <v>AFA</v>
          </cell>
          <cell r="T3" t="str">
            <v>FLO_MARK</v>
          </cell>
          <cell r="U3" t="str">
            <v>Share-I</v>
          </cell>
          <cell r="V3" t="str">
            <v>OUTPUT</v>
          </cell>
        </row>
        <row r="6">
          <cell r="A6" t="str">
            <v>INDGDMTELCN1</v>
          </cell>
          <cell r="J6">
            <v>2020</v>
          </cell>
          <cell r="L6">
            <v>1</v>
          </cell>
          <cell r="M6">
            <v>4.4754761904761899</v>
          </cell>
          <cell r="N6">
            <v>20</v>
          </cell>
          <cell r="O6">
            <v>5.4385000000000003</v>
          </cell>
          <cell r="P6">
            <v>1.49E-2</v>
          </cell>
          <cell r="Q6">
            <v>6.7463888888888883</v>
          </cell>
          <cell r="R6">
            <v>3.1536000000000002E-2</v>
          </cell>
          <cell r="S6">
            <v>0.5</v>
          </cell>
          <cell r="T6">
            <v>0.15</v>
          </cell>
          <cell r="U6">
            <v>0.22343991062403579</v>
          </cell>
        </row>
        <row r="7">
          <cell r="A7" t="str">
            <v>INDGDMTELCN1</v>
          </cell>
          <cell r="U7">
            <v>0.77656008937596421</v>
          </cell>
        </row>
        <row r="8">
          <cell r="A8" t="str">
            <v>INDGDMTELCN1</v>
          </cell>
          <cell r="J8">
            <v>2030</v>
          </cell>
          <cell r="L8">
            <v>1</v>
          </cell>
          <cell r="M8">
            <v>4.5792982142857133</v>
          </cell>
          <cell r="O8">
            <v>4.8425000000000002</v>
          </cell>
          <cell r="P8">
            <v>1.49E-2</v>
          </cell>
          <cell r="Q8">
            <v>6.6222222222222227</v>
          </cell>
          <cell r="U8">
            <v>0.21837407244637849</v>
          </cell>
        </row>
        <row r="9">
          <cell r="A9" t="str">
            <v>INDGDMTELCN1</v>
          </cell>
          <cell r="U9">
            <v>0.78162592755362148</v>
          </cell>
        </row>
        <row r="10">
          <cell r="A10" t="str">
            <v>INDGDMTELCN1</v>
          </cell>
          <cell r="J10">
            <v>2050</v>
          </cell>
          <cell r="L10">
            <v>1</v>
          </cell>
          <cell r="M10">
            <v>4.7191030203571422</v>
          </cell>
          <cell r="O10">
            <v>4.3209999999999997</v>
          </cell>
          <cell r="P10">
            <v>1.49E-2</v>
          </cell>
          <cell r="Q10">
            <v>6.4566666666666661</v>
          </cell>
          <cell r="U10">
            <v>0.21190467673331698</v>
          </cell>
        </row>
        <row r="11">
          <cell r="A11" t="str">
            <v>INDGDMTELCN1</v>
          </cell>
          <cell r="U11">
            <v>0.78809532326668297</v>
          </cell>
        </row>
        <row r="12">
          <cell r="A12" t="str">
            <v>INDGDRHELCN1</v>
          </cell>
          <cell r="J12">
            <v>2020</v>
          </cell>
          <cell r="L12">
            <v>1</v>
          </cell>
          <cell r="M12">
            <v>4.4754761904761899</v>
          </cell>
          <cell r="N12">
            <v>20</v>
          </cell>
          <cell r="O12">
            <v>5.4385000000000003</v>
          </cell>
          <cell r="P12">
            <v>1.49E-2</v>
          </cell>
          <cell r="Q12">
            <v>6.7463888888888883</v>
          </cell>
          <cell r="R12">
            <v>3.1536000000000002E-2</v>
          </cell>
          <cell r="S12">
            <v>0.5</v>
          </cell>
          <cell r="T12">
            <v>1</v>
          </cell>
          <cell r="U12">
            <v>0.22343991062403579</v>
          </cell>
        </row>
        <row r="13">
          <cell r="A13" t="str">
            <v>INDGDRHELCN1</v>
          </cell>
          <cell r="U13">
            <v>0.77656008937596421</v>
          </cell>
        </row>
        <row r="14">
          <cell r="A14" t="str">
            <v>INDGDRHELCN1</v>
          </cell>
          <cell r="J14">
            <v>2030</v>
          </cell>
          <cell r="L14">
            <v>1</v>
          </cell>
          <cell r="M14">
            <v>4.5792982142857133</v>
          </cell>
          <cell r="O14">
            <v>4.8425000000000002</v>
          </cell>
          <cell r="P14">
            <v>1.49E-2</v>
          </cell>
          <cell r="Q14">
            <v>6.6222222222222227</v>
          </cell>
          <cell r="U14">
            <v>0.21837407244637849</v>
          </cell>
        </row>
        <row r="15">
          <cell r="A15" t="str">
            <v>INDGDRHELCN1</v>
          </cell>
          <cell r="U15">
            <v>0.78162592755362148</v>
          </cell>
        </row>
        <row r="16">
          <cell r="A16" t="str">
            <v>INDGDRHELCN1</v>
          </cell>
          <cell r="J16">
            <v>2050</v>
          </cell>
          <cell r="L16">
            <v>1</v>
          </cell>
          <cell r="M16">
            <v>4.7191030203571422</v>
          </cell>
          <cell r="O16">
            <v>4.3209999999999997</v>
          </cell>
          <cell r="P16">
            <v>1.49E-2</v>
          </cell>
          <cell r="Q16">
            <v>6.4566666666666661</v>
          </cell>
          <cell r="U16">
            <v>0.21190467673331698</v>
          </cell>
        </row>
        <row r="17">
          <cell r="A17" t="str">
            <v>INDGDRHELCN1</v>
          </cell>
          <cell r="U17">
            <v>0.78809532326668297</v>
          </cell>
        </row>
        <row r="18">
          <cell r="A18" t="str">
            <v>INDGDMTELCN2</v>
          </cell>
          <cell r="J18">
            <v>2020</v>
          </cell>
          <cell r="L18">
            <v>1</v>
          </cell>
          <cell r="M18">
            <v>1.68</v>
          </cell>
          <cell r="N18">
            <v>20</v>
          </cell>
          <cell r="O18">
            <v>4.1720000000000006</v>
          </cell>
          <cell r="P18">
            <v>1.49E-2</v>
          </cell>
          <cell r="Q18">
            <v>2.0901388888888892</v>
          </cell>
          <cell r="R18">
            <v>3.1536000000000002E-2</v>
          </cell>
          <cell r="S18">
            <v>0.5</v>
          </cell>
          <cell r="T18">
            <v>0.01</v>
          </cell>
          <cell r="U18">
            <v>0.59523809523809523</v>
          </cell>
        </row>
        <row r="19">
          <cell r="A19" t="str">
            <v>INDGDMTELCN2</v>
          </cell>
          <cell r="U19">
            <v>0.40476190476190477</v>
          </cell>
        </row>
        <row r="20">
          <cell r="A20" t="str">
            <v>INDGDMTELCN2</v>
          </cell>
          <cell r="J20">
            <v>2030</v>
          </cell>
          <cell r="L20">
            <v>1</v>
          </cell>
          <cell r="M20">
            <v>1.69</v>
          </cell>
          <cell r="O20">
            <v>3.7995000000000001</v>
          </cell>
          <cell r="P20">
            <v>1.49E-2</v>
          </cell>
          <cell r="Q20">
            <v>2.0694444444444446</v>
          </cell>
          <cell r="U20">
            <v>0.59171597633136097</v>
          </cell>
        </row>
        <row r="21">
          <cell r="A21" t="str">
            <v>INDGDMTELCN2</v>
          </cell>
          <cell r="U21">
            <v>0.40828402366863903</v>
          </cell>
        </row>
        <row r="22">
          <cell r="A22" t="str">
            <v>INDGDMTELCN2</v>
          </cell>
          <cell r="J22">
            <v>2050</v>
          </cell>
          <cell r="L22">
            <v>1</v>
          </cell>
          <cell r="M22">
            <v>1.71</v>
          </cell>
          <cell r="O22">
            <v>3.427</v>
          </cell>
          <cell r="P22">
            <v>1.49E-2</v>
          </cell>
          <cell r="Q22">
            <v>2.0487500000000001</v>
          </cell>
          <cell r="U22">
            <v>0.58479532163742687</v>
          </cell>
        </row>
        <row r="23">
          <cell r="A23" t="str">
            <v>INDGDMTELCN2</v>
          </cell>
          <cell r="U23">
            <v>0.41520467836257313</v>
          </cell>
        </row>
        <row r="24">
          <cell r="A24" t="str">
            <v>INDGDRHELCN2</v>
          </cell>
          <cell r="J24">
            <v>2020</v>
          </cell>
          <cell r="L24">
            <v>1</v>
          </cell>
          <cell r="M24">
            <v>1.68</v>
          </cell>
          <cell r="N24">
            <v>20</v>
          </cell>
          <cell r="O24">
            <v>4.1720000000000006</v>
          </cell>
          <cell r="P24">
            <v>1.49E-2</v>
          </cell>
          <cell r="Q24">
            <v>2.0901388888888892</v>
          </cell>
          <cell r="R24">
            <v>3.1536000000000002E-2</v>
          </cell>
          <cell r="S24">
            <v>0.5</v>
          </cell>
          <cell r="T24">
            <v>1</v>
          </cell>
          <cell r="U24">
            <v>0.59523809523809523</v>
          </cell>
        </row>
        <row r="25">
          <cell r="A25" t="str">
            <v>INDGDRHELCN2</v>
          </cell>
          <cell r="U25">
            <v>0.40476190476190477</v>
          </cell>
        </row>
        <row r="26">
          <cell r="A26" t="str">
            <v>INDGDRHELCN2</v>
          </cell>
          <cell r="J26">
            <v>2030</v>
          </cell>
          <cell r="L26">
            <v>1</v>
          </cell>
          <cell r="M26">
            <v>1.69</v>
          </cell>
          <cell r="O26">
            <v>3.7995000000000001</v>
          </cell>
          <cell r="P26">
            <v>1.49E-2</v>
          </cell>
          <cell r="Q26">
            <v>2.0694444444444446</v>
          </cell>
          <cell r="U26">
            <v>0.59171597633136097</v>
          </cell>
        </row>
        <row r="27">
          <cell r="A27" t="str">
            <v>INDGDRHELCN2</v>
          </cell>
          <cell r="U27">
            <v>0.40828402366863903</v>
          </cell>
        </row>
        <row r="28">
          <cell r="A28" t="str">
            <v>INDGDRHELCN2</v>
          </cell>
          <cell r="J28">
            <v>2050</v>
          </cell>
          <cell r="L28">
            <v>1</v>
          </cell>
          <cell r="M28">
            <v>1.71</v>
          </cell>
          <cell r="O28">
            <v>3.427</v>
          </cell>
          <cell r="P28">
            <v>1.49E-2</v>
          </cell>
          <cell r="Q28">
            <v>2.0487500000000001</v>
          </cell>
          <cell r="U28">
            <v>0.58479532163742687</v>
          </cell>
        </row>
        <row r="29">
          <cell r="A29" t="str">
            <v>INDGDRHELCN2</v>
          </cell>
          <cell r="U29">
            <v>0.41520467836257313</v>
          </cell>
        </row>
        <row r="30">
          <cell r="A30" t="str">
            <v>INDGDMTELCN3</v>
          </cell>
          <cell r="J30">
            <v>2020</v>
          </cell>
          <cell r="L30">
            <v>1</v>
          </cell>
          <cell r="M30">
            <v>2.75</v>
          </cell>
          <cell r="N30">
            <v>20</v>
          </cell>
          <cell r="O30">
            <v>7.1394840000000004</v>
          </cell>
          <cell r="P30">
            <v>7.2264999999999994E-3</v>
          </cell>
          <cell r="Q30">
            <v>6.7463888888888883</v>
          </cell>
          <cell r="R30">
            <v>3.1536000000000002E-2</v>
          </cell>
          <cell r="S30">
            <v>0.5</v>
          </cell>
          <cell r="T30">
            <v>1.0000000000000009E-2</v>
          </cell>
          <cell r="U30">
            <v>0.36363636363636365</v>
          </cell>
        </row>
        <row r="31">
          <cell r="A31" t="str">
            <v>INDGDMTELCN3</v>
          </cell>
          <cell r="U31">
            <v>0.63636363636363635</v>
          </cell>
        </row>
        <row r="32">
          <cell r="A32" t="str">
            <v>INDGDMTELCN3</v>
          </cell>
          <cell r="J32">
            <v>2030</v>
          </cell>
          <cell r="L32">
            <v>1</v>
          </cell>
          <cell r="M32">
            <v>2.875</v>
          </cell>
          <cell r="O32">
            <v>6.3822660000000013</v>
          </cell>
          <cell r="P32">
            <v>6.4814999999999994E-3</v>
          </cell>
          <cell r="Q32">
            <v>6.6222222222222227</v>
          </cell>
          <cell r="U32">
            <v>0.34782608695652173</v>
          </cell>
        </row>
        <row r="33">
          <cell r="A33" t="str">
            <v>INDGDMTELCN3</v>
          </cell>
          <cell r="U33">
            <v>0.65217391304347827</v>
          </cell>
        </row>
        <row r="34">
          <cell r="A34" t="str">
            <v>INDGDMTELCN3</v>
          </cell>
          <cell r="J34">
            <v>2050</v>
          </cell>
          <cell r="L34">
            <v>1</v>
          </cell>
          <cell r="M34">
            <v>3.0249999999999999</v>
          </cell>
          <cell r="O34">
            <v>5.7365000000000004</v>
          </cell>
          <cell r="P34">
            <v>5.3639999999999998E-3</v>
          </cell>
          <cell r="Q34">
            <v>6.4566666666666661</v>
          </cell>
          <cell r="U34">
            <v>0.33057851239669422</v>
          </cell>
        </row>
        <row r="35">
          <cell r="A35" t="str">
            <v>INDGDMTELCN3</v>
          </cell>
          <cell r="U35">
            <v>0.66942148760330578</v>
          </cell>
        </row>
        <row r="36">
          <cell r="A36" t="str">
            <v>INDGDRHELCN3</v>
          </cell>
          <cell r="J36">
            <v>2020</v>
          </cell>
          <cell r="L36">
            <v>1</v>
          </cell>
          <cell r="M36">
            <v>2.75</v>
          </cell>
          <cell r="N36">
            <v>20</v>
          </cell>
          <cell r="O36">
            <v>7.1394840000000004</v>
          </cell>
          <cell r="P36">
            <v>7.2264999999999994E-3</v>
          </cell>
          <cell r="Q36">
            <v>6.7463888888888883</v>
          </cell>
          <cell r="R36">
            <v>3.1536000000000002E-2</v>
          </cell>
          <cell r="S36">
            <v>0.5</v>
          </cell>
          <cell r="T36">
            <v>1</v>
          </cell>
          <cell r="U36">
            <v>0.36363636363636365</v>
          </cell>
        </row>
        <row r="37">
          <cell r="A37" t="str">
            <v>INDGDRHELCN3</v>
          </cell>
          <cell r="U37">
            <v>0.63636363636363635</v>
          </cell>
        </row>
        <row r="38">
          <cell r="A38" t="str">
            <v>INDGDRHELCN3</v>
          </cell>
          <cell r="J38">
            <v>2030</v>
          </cell>
          <cell r="L38">
            <v>1</v>
          </cell>
          <cell r="M38">
            <v>2.875</v>
          </cell>
          <cell r="O38">
            <v>6.3822660000000013</v>
          </cell>
          <cell r="P38">
            <v>6.4814999999999994E-3</v>
          </cell>
          <cell r="Q38">
            <v>6.6222222222222227</v>
          </cell>
          <cell r="U38">
            <v>0.34782608695652173</v>
          </cell>
        </row>
        <row r="39">
          <cell r="A39" t="str">
            <v>INDGDRHELCN3</v>
          </cell>
          <cell r="U39">
            <v>0.65217391304347827</v>
          </cell>
        </row>
        <row r="40">
          <cell r="A40" t="str">
            <v>INDGDRHELCN3</v>
          </cell>
          <cell r="J40">
            <v>2050</v>
          </cell>
          <cell r="L40">
            <v>1</v>
          </cell>
          <cell r="M40">
            <v>3.0249999999999999</v>
          </cell>
          <cell r="O40">
            <v>5.7365000000000004</v>
          </cell>
          <cell r="P40">
            <v>5.3639999999999998E-3</v>
          </cell>
          <cell r="Q40">
            <v>6.4566666666666661</v>
          </cell>
          <cell r="U40">
            <v>0.33057851239669422</v>
          </cell>
        </row>
        <row r="41">
          <cell r="A41" t="str">
            <v>INDGDRHELCN3</v>
          </cell>
          <cell r="U41">
            <v>0.66942148760330578</v>
          </cell>
        </row>
        <row r="42">
          <cell r="A42" t="str">
            <v>INDGDMTELCN4</v>
          </cell>
          <cell r="J42">
            <v>2020</v>
          </cell>
          <cell r="L42">
            <v>1</v>
          </cell>
          <cell r="M42">
            <v>1.93</v>
          </cell>
          <cell r="N42">
            <v>20</v>
          </cell>
          <cell r="O42">
            <v>12.158890687341184</v>
          </cell>
          <cell r="P42">
            <v>1.49E-2</v>
          </cell>
          <cell r="Q42">
            <v>7.1188888888888897</v>
          </cell>
          <cell r="R42">
            <v>3.1536000000000002E-2</v>
          </cell>
          <cell r="S42">
            <v>0.5</v>
          </cell>
          <cell r="T42">
            <v>8.0000000000000016E-2</v>
          </cell>
          <cell r="U42">
            <v>0.5181347150259068</v>
          </cell>
        </row>
        <row r="43">
          <cell r="A43" t="str">
            <v>INDGDMTELCN4</v>
          </cell>
          <cell r="U43">
            <v>0.4818652849740932</v>
          </cell>
        </row>
        <row r="44">
          <cell r="A44" t="str">
            <v>INDGDMTELCN4</v>
          </cell>
          <cell r="J44">
            <v>2030</v>
          </cell>
          <cell r="L44">
            <v>1</v>
          </cell>
          <cell r="M44">
            <v>1.9894000000000001</v>
          </cell>
          <cell r="O44">
            <v>9.8570539139933757</v>
          </cell>
          <cell r="P44">
            <v>1.49E-2</v>
          </cell>
          <cell r="Q44">
            <v>6.9740277777777777</v>
          </cell>
          <cell r="U44">
            <v>0.50266411983512616</v>
          </cell>
        </row>
        <row r="45">
          <cell r="A45" t="str">
            <v>INDGDMTELCN4</v>
          </cell>
          <cell r="U45">
            <v>0.49733588016487384</v>
          </cell>
        </row>
        <row r="46">
          <cell r="A46" t="str">
            <v>INDGDMTELCN4</v>
          </cell>
          <cell r="J46">
            <v>2050</v>
          </cell>
          <cell r="L46">
            <v>1</v>
          </cell>
          <cell r="M46">
            <v>2.0509898799999999</v>
          </cell>
          <cell r="O46">
            <v>6.955935359434223</v>
          </cell>
          <cell r="P46">
            <v>1.49E-2</v>
          </cell>
          <cell r="Q46">
            <v>6.7877777777777784</v>
          </cell>
          <cell r="U46">
            <v>0.48756944622271858</v>
          </cell>
        </row>
        <row r="47">
          <cell r="A47" t="str">
            <v>INDGDMTELCN4</v>
          </cell>
          <cell r="U47">
            <v>0.51243055377728142</v>
          </cell>
        </row>
        <row r="48">
          <cell r="A48" t="str">
            <v>INDGDRHELCN4</v>
          </cell>
          <cell r="J48">
            <v>2020</v>
          </cell>
          <cell r="L48">
            <v>1</v>
          </cell>
          <cell r="M48">
            <v>1.93</v>
          </cell>
          <cell r="N48">
            <v>20</v>
          </cell>
          <cell r="O48">
            <v>12.158890687341184</v>
          </cell>
          <cell r="P48">
            <v>1.49E-2</v>
          </cell>
          <cell r="Q48">
            <v>7.1188888888888897</v>
          </cell>
          <cell r="R48">
            <v>3.1536000000000002E-2</v>
          </cell>
          <cell r="S48">
            <v>0.5</v>
          </cell>
          <cell r="T48">
            <v>1</v>
          </cell>
          <cell r="U48">
            <v>0.5181347150259068</v>
          </cell>
        </row>
        <row r="49">
          <cell r="A49" t="str">
            <v>INDGDRHELCN4</v>
          </cell>
          <cell r="U49">
            <v>0.4818652849740932</v>
          </cell>
        </row>
        <row r="50">
          <cell r="A50" t="str">
            <v>INDGDRHELCN4</v>
          </cell>
          <cell r="J50">
            <v>2030</v>
          </cell>
          <cell r="L50">
            <v>1</v>
          </cell>
          <cell r="M50">
            <v>1.9894000000000001</v>
          </cell>
          <cell r="O50">
            <v>9.8570539139933757</v>
          </cell>
          <cell r="P50">
            <v>1.49E-2</v>
          </cell>
          <cell r="Q50">
            <v>6.9740277777777777</v>
          </cell>
          <cell r="U50">
            <v>0.50266411983512616</v>
          </cell>
        </row>
        <row r="51">
          <cell r="A51" t="str">
            <v>INDGDRHELCN4</v>
          </cell>
          <cell r="U51">
            <v>0.49733588016487384</v>
          </cell>
        </row>
        <row r="52">
          <cell r="A52" t="str">
            <v>INDGDRHELCN4</v>
          </cell>
          <cell r="J52">
            <v>2050</v>
          </cell>
          <cell r="L52">
            <v>1</v>
          </cell>
          <cell r="M52">
            <v>2.0509898799999999</v>
          </cell>
          <cell r="O52">
            <v>6.955935359434223</v>
          </cell>
          <cell r="P52">
            <v>1.49E-2</v>
          </cell>
          <cell r="Q52">
            <v>6.7877777777777784</v>
          </cell>
          <cell r="U52">
            <v>0.48756944622271858</v>
          </cell>
        </row>
        <row r="53">
          <cell r="A53" t="str">
            <v>INDGDRHELCN4</v>
          </cell>
          <cell r="U53">
            <v>0.51243055377728142</v>
          </cell>
        </row>
        <row r="54">
          <cell r="A54" t="str">
            <v>INDGDMTELCN5</v>
          </cell>
          <cell r="J54">
            <v>2020</v>
          </cell>
          <cell r="L54">
            <v>1</v>
          </cell>
          <cell r="M54">
            <v>12.1</v>
          </cell>
          <cell r="N54">
            <v>25</v>
          </cell>
          <cell r="O54">
            <v>2.6074999999999999</v>
          </cell>
          <cell r="P54">
            <v>1.49E-2</v>
          </cell>
          <cell r="Q54">
            <v>5.2356944444444444</v>
          </cell>
          <cell r="R54">
            <v>3.1536000000000002E-2</v>
          </cell>
          <cell r="S54">
            <v>0.5</v>
          </cell>
          <cell r="T54">
            <v>0.37</v>
          </cell>
          <cell r="U54">
            <v>8.2644628099173556E-2</v>
          </cell>
        </row>
        <row r="55">
          <cell r="A55" t="str">
            <v>INDGDMTELCN5</v>
          </cell>
          <cell r="U55">
            <v>0.9173553719008265</v>
          </cell>
        </row>
        <row r="56">
          <cell r="A56" t="str">
            <v>INDGDMTELCN5</v>
          </cell>
          <cell r="J56">
            <v>2030</v>
          </cell>
          <cell r="L56">
            <v>1</v>
          </cell>
          <cell r="M56">
            <v>12.7</v>
          </cell>
          <cell r="O56">
            <v>2.4585000000000004</v>
          </cell>
          <cell r="P56">
            <v>1.49E-2</v>
          </cell>
          <cell r="Q56">
            <v>5.0701388888888888</v>
          </cell>
          <cell r="U56">
            <v>7.874015748031496E-2</v>
          </cell>
        </row>
        <row r="57">
          <cell r="A57" t="str">
            <v>INDGDMTELCN5</v>
          </cell>
          <cell r="U57">
            <v>0.92125984251968507</v>
          </cell>
        </row>
        <row r="58">
          <cell r="A58" t="str">
            <v>INDGDMTELCN5</v>
          </cell>
          <cell r="J58">
            <v>2050</v>
          </cell>
          <cell r="L58">
            <v>1</v>
          </cell>
          <cell r="M58">
            <v>13.8</v>
          </cell>
          <cell r="O58">
            <v>2.3094999999999999</v>
          </cell>
          <cell r="P58">
            <v>1.49E-2</v>
          </cell>
          <cell r="Q58">
            <v>4.8838888888888903</v>
          </cell>
          <cell r="U58">
            <v>7.2463768115942032E-2</v>
          </cell>
        </row>
        <row r="59">
          <cell r="A59" t="str">
            <v>INDGDMTELCN5</v>
          </cell>
          <cell r="U59">
            <v>0.92753623188405798</v>
          </cell>
        </row>
        <row r="60">
          <cell r="A60" t="str">
            <v>INDGDHTWSTN1</v>
          </cell>
          <cell r="J60">
            <v>2020</v>
          </cell>
          <cell r="L60">
            <v>0.9</v>
          </cell>
          <cell r="N60">
            <v>20</v>
          </cell>
          <cell r="O60">
            <v>3.7250000000000001</v>
          </cell>
          <cell r="P60">
            <v>2.98E-3</v>
          </cell>
          <cell r="Q60">
            <v>2.4315972222222224</v>
          </cell>
          <cell r="R60">
            <v>3.1536000000000002E-2</v>
          </cell>
          <cell r="S60">
            <v>0.5</v>
          </cell>
          <cell r="T60">
            <v>0.15</v>
          </cell>
          <cell r="V60">
            <v>0.39999999999999997</v>
          </cell>
        </row>
        <row r="61">
          <cell r="A61" t="str">
            <v>INDGDHTWSTN1</v>
          </cell>
          <cell r="J61">
            <v>2030</v>
          </cell>
          <cell r="L61">
            <v>0.91</v>
          </cell>
          <cell r="O61">
            <v>3.4642500000000003</v>
          </cell>
          <cell r="P61">
            <v>2.98E-3</v>
          </cell>
          <cell r="Q61">
            <v>2.4729861111111116</v>
          </cell>
          <cell r="V61">
            <v>0.38999999999999996</v>
          </cell>
        </row>
        <row r="62">
          <cell r="A62" t="str">
            <v>INDGDHTWSTN1</v>
          </cell>
          <cell r="J62">
            <v>2050</v>
          </cell>
          <cell r="L62">
            <v>0.93</v>
          </cell>
          <cell r="O62">
            <v>3.3525</v>
          </cell>
          <cell r="P62">
            <v>2.98E-3</v>
          </cell>
          <cell r="Q62">
            <v>2.4936805555555561</v>
          </cell>
          <cell r="V62">
            <v>0.36999999999999994</v>
          </cell>
        </row>
        <row r="63">
          <cell r="A63" t="str">
            <v>INDGDMTELCN6</v>
          </cell>
          <cell r="J63">
            <v>2020</v>
          </cell>
          <cell r="L63">
            <v>0.95</v>
          </cell>
          <cell r="N63">
            <v>30</v>
          </cell>
          <cell r="O63">
            <v>20.115000000000002</v>
          </cell>
          <cell r="P63">
            <v>0</v>
          </cell>
          <cell r="Q63">
            <v>94.828152777777774</v>
          </cell>
          <cell r="R63">
            <v>3.1536000000000002E-2</v>
          </cell>
          <cell r="S63">
            <v>0.5</v>
          </cell>
          <cell r="T63">
            <v>0.05</v>
          </cell>
          <cell r="V63">
            <v>0.25000000000000006</v>
          </cell>
        </row>
        <row r="64">
          <cell r="A64" t="str">
            <v>INDGDMTELCN6</v>
          </cell>
          <cell r="J64">
            <v>2030</v>
          </cell>
          <cell r="L64">
            <v>0.95</v>
          </cell>
          <cell r="O64">
            <v>19.511550000000003</v>
          </cell>
          <cell r="P64">
            <v>0</v>
          </cell>
          <cell r="Q64">
            <v>94.832291666666663</v>
          </cell>
          <cell r="V64">
            <v>0.25000000000000006</v>
          </cell>
        </row>
        <row r="65">
          <cell r="A65" t="str">
            <v>INDGDMTELCN6</v>
          </cell>
          <cell r="J65">
            <v>2050</v>
          </cell>
          <cell r="L65">
            <v>0.95</v>
          </cell>
          <cell r="O65">
            <v>18.1035</v>
          </cell>
          <cell r="P65">
            <v>0</v>
          </cell>
          <cell r="Q65">
            <v>94.834361111111107</v>
          </cell>
          <cell r="V65">
            <v>0.25000000000000006</v>
          </cell>
        </row>
        <row r="66">
          <cell r="A66" t="str">
            <v>INDGDMTELCN7</v>
          </cell>
          <cell r="J66">
            <v>2020</v>
          </cell>
          <cell r="L66">
            <v>0.96</v>
          </cell>
          <cell r="N66">
            <v>30</v>
          </cell>
          <cell r="O66">
            <v>2.6074999999999999</v>
          </cell>
          <cell r="P66">
            <v>0</v>
          </cell>
          <cell r="Q66">
            <v>242.27606944444443</v>
          </cell>
          <cell r="R66">
            <v>3.1536000000000002E-2</v>
          </cell>
          <cell r="S66">
            <v>0.5</v>
          </cell>
          <cell r="T66">
            <v>0.03</v>
          </cell>
          <cell r="V66">
            <v>0.24000000000000005</v>
          </cell>
        </row>
        <row r="67">
          <cell r="A67" t="str">
            <v>INDGDMTELCN7</v>
          </cell>
          <cell r="J67">
            <v>2030</v>
          </cell>
          <cell r="L67">
            <v>0.96</v>
          </cell>
          <cell r="O67">
            <v>2.5330000000000004</v>
          </cell>
          <cell r="P67">
            <v>0</v>
          </cell>
          <cell r="Q67">
            <v>242.28020833333332</v>
          </cell>
          <cell r="V67">
            <v>0.24000000000000005</v>
          </cell>
        </row>
        <row r="68">
          <cell r="A68" t="str">
            <v>INDGDMTELCN7</v>
          </cell>
          <cell r="J68">
            <v>2050</v>
          </cell>
          <cell r="L68">
            <v>0.96</v>
          </cell>
          <cell r="O68">
            <v>2.3467500000000001</v>
          </cell>
          <cell r="P68">
            <v>0</v>
          </cell>
          <cell r="Q68">
            <v>242.28227777777775</v>
          </cell>
          <cell r="V68">
            <v>0.24000000000000005</v>
          </cell>
        </row>
        <row r="69">
          <cell r="A69" t="str">
            <v>INDGDHTELCN8</v>
          </cell>
          <cell r="J69">
            <v>2020</v>
          </cell>
          <cell r="L69">
            <v>0.99</v>
          </cell>
          <cell r="N69">
            <v>25</v>
          </cell>
          <cell r="O69">
            <v>0.59599999999999997</v>
          </cell>
          <cell r="P69">
            <v>7.9714999999999994E-3</v>
          </cell>
          <cell r="Q69">
            <v>1.7900694444444445</v>
          </cell>
          <cell r="R69">
            <v>3.1536000000000002E-2</v>
          </cell>
          <cell r="S69">
            <v>0.5</v>
          </cell>
          <cell r="T69">
            <v>1</v>
          </cell>
          <cell r="V69">
            <v>0.31</v>
          </cell>
        </row>
        <row r="70">
          <cell r="A70" t="str">
            <v>INDGDHTELCN8</v>
          </cell>
          <cell r="J70">
            <v>2030</v>
          </cell>
          <cell r="L70">
            <v>0.99</v>
          </cell>
          <cell r="O70">
            <v>0.52150000000000007</v>
          </cell>
          <cell r="P70">
            <v>7.5989999999999999E-3</v>
          </cell>
          <cell r="Q70">
            <v>1.8107638888888888</v>
          </cell>
          <cell r="V70">
            <v>0.31</v>
          </cell>
        </row>
        <row r="71">
          <cell r="A71" t="str">
            <v>INDGDHTELCN8</v>
          </cell>
          <cell r="J71">
            <v>2050</v>
          </cell>
          <cell r="L71">
            <v>0.99</v>
          </cell>
          <cell r="O71">
            <v>0.52150000000000007</v>
          </cell>
          <cell r="P71">
            <v>6.8539999999999998E-3</v>
          </cell>
          <cell r="Q71">
            <v>1.6141666666666665</v>
          </cell>
          <cell r="V71">
            <v>0.31</v>
          </cell>
        </row>
        <row r="72">
          <cell r="A72" t="str">
            <v>INDGDMTELCN8</v>
          </cell>
          <cell r="J72">
            <v>2020</v>
          </cell>
          <cell r="L72">
            <v>0.99</v>
          </cell>
          <cell r="N72">
            <v>25</v>
          </cell>
          <cell r="O72">
            <v>0.59599999999999997</v>
          </cell>
          <cell r="P72">
            <v>7.9714999999999994E-3</v>
          </cell>
          <cell r="Q72">
            <v>1.7900694444444445</v>
          </cell>
          <cell r="R72">
            <v>3.1536000000000002E-2</v>
          </cell>
          <cell r="S72">
            <v>0.5</v>
          </cell>
          <cell r="T72">
            <v>1</v>
          </cell>
          <cell r="V72">
            <v>0.21000000000000002</v>
          </cell>
        </row>
        <row r="73">
          <cell r="A73" t="str">
            <v>INDGDMTELCN8</v>
          </cell>
          <cell r="J73">
            <v>2030</v>
          </cell>
          <cell r="L73">
            <v>0.99</v>
          </cell>
          <cell r="O73">
            <v>0.52150000000000007</v>
          </cell>
          <cell r="P73">
            <v>7.5989999999999999E-3</v>
          </cell>
          <cell r="Q73">
            <v>1.8107638888888888</v>
          </cell>
          <cell r="V73">
            <v>0.21000000000000002</v>
          </cell>
        </row>
        <row r="74">
          <cell r="A74" t="str">
            <v>INDGDMTELCN8</v>
          </cell>
          <cell r="J74">
            <v>2050</v>
          </cell>
          <cell r="L74">
            <v>0.99</v>
          </cell>
          <cell r="O74">
            <v>0.52150000000000007</v>
          </cell>
          <cell r="P74">
            <v>6.8539999999999998E-3</v>
          </cell>
          <cell r="Q74">
            <v>1.6141666666666665</v>
          </cell>
          <cell r="V74">
            <v>0.21000000000000002</v>
          </cell>
        </row>
        <row r="75">
          <cell r="A75" t="str">
            <v>INDGDRHELCN8</v>
          </cell>
          <cell r="J75">
            <v>2020</v>
          </cell>
          <cell r="L75">
            <v>0.99</v>
          </cell>
          <cell r="N75">
            <v>25</v>
          </cell>
          <cell r="O75">
            <v>0.59599999999999997</v>
          </cell>
          <cell r="P75">
            <v>7.9714999999999994E-3</v>
          </cell>
          <cell r="Q75">
            <v>1.7900694444444445</v>
          </cell>
          <cell r="R75">
            <v>3.1536000000000002E-2</v>
          </cell>
          <cell r="S75">
            <v>0.5</v>
          </cell>
          <cell r="T75">
            <v>1</v>
          </cell>
          <cell r="V75">
            <v>1.0000000000000009E-2</v>
          </cell>
        </row>
        <row r="76">
          <cell r="A76" t="str">
            <v>INDGDRHELCN8</v>
          </cell>
          <cell r="J76">
            <v>2030</v>
          </cell>
          <cell r="L76">
            <v>0.99</v>
          </cell>
          <cell r="O76">
            <v>0.52150000000000007</v>
          </cell>
          <cell r="P76">
            <v>7.5989999999999999E-3</v>
          </cell>
          <cell r="Q76">
            <v>1.8107638888888888</v>
          </cell>
          <cell r="V76">
            <v>1.0000000000000009E-2</v>
          </cell>
        </row>
        <row r="77">
          <cell r="A77" t="str">
            <v>INDGDRHELCN8</v>
          </cell>
          <cell r="J77">
            <v>2050</v>
          </cell>
          <cell r="L77">
            <v>0.99</v>
          </cell>
          <cell r="O77">
            <v>0.52150000000000007</v>
          </cell>
          <cell r="P77">
            <v>6.8539999999999998E-3</v>
          </cell>
          <cell r="Q77">
            <v>1.6141666666666665</v>
          </cell>
          <cell r="V77">
            <v>1.0000000000000009E-2</v>
          </cell>
        </row>
        <row r="78">
          <cell r="A78" t="str">
            <v>INDGDMTELCN9</v>
          </cell>
          <cell r="J78">
            <v>2020</v>
          </cell>
          <cell r="L78">
            <v>0.99</v>
          </cell>
          <cell r="N78">
            <v>25</v>
          </cell>
          <cell r="O78">
            <v>0.52150000000000007</v>
          </cell>
          <cell r="P78">
            <v>7.9714999999999994E-3</v>
          </cell>
          <cell r="Q78">
            <v>1.7900694444444445</v>
          </cell>
          <cell r="R78">
            <v>3.1536000000000002E-2</v>
          </cell>
          <cell r="S78">
            <v>0.5</v>
          </cell>
          <cell r="T78">
            <v>0.5</v>
          </cell>
          <cell r="V78">
            <v>0.21000000000000002</v>
          </cell>
        </row>
        <row r="79">
          <cell r="A79" t="str">
            <v>INDGDMTELCN9</v>
          </cell>
          <cell r="J79">
            <v>2030</v>
          </cell>
          <cell r="L79">
            <v>0.99</v>
          </cell>
          <cell r="O79">
            <v>0.44700000000000001</v>
          </cell>
          <cell r="P79">
            <v>7.5989999999999999E-3</v>
          </cell>
          <cell r="Q79">
            <v>1.8107638888888888</v>
          </cell>
          <cell r="V79">
            <v>0.21000000000000002</v>
          </cell>
        </row>
        <row r="80">
          <cell r="A80" t="str">
            <v>INDGDMTELCN9</v>
          </cell>
          <cell r="J80">
            <v>2050</v>
          </cell>
          <cell r="L80">
            <v>0.99</v>
          </cell>
          <cell r="O80">
            <v>0.44700000000000001</v>
          </cell>
          <cell r="P80">
            <v>6.8539999999999998E-3</v>
          </cell>
          <cell r="Q80">
            <v>1.6141666666666665</v>
          </cell>
          <cell r="V80">
            <v>0.21000000000000002</v>
          </cell>
        </row>
        <row r="81">
          <cell r="A81" t="str">
            <v>INDGDRHELCN9</v>
          </cell>
          <cell r="J81">
            <v>2020</v>
          </cell>
          <cell r="L81">
            <v>0.99</v>
          </cell>
          <cell r="N81">
            <v>25</v>
          </cell>
          <cell r="O81">
            <v>0.52150000000000007</v>
          </cell>
          <cell r="P81">
            <v>7.9714999999999994E-3</v>
          </cell>
          <cell r="Q81">
            <v>1.7900694444444445</v>
          </cell>
          <cell r="R81">
            <v>3.1536000000000002E-2</v>
          </cell>
          <cell r="S81">
            <v>0.5</v>
          </cell>
          <cell r="T81">
            <v>1</v>
          </cell>
          <cell r="V81">
            <v>1.0000000000000009E-2</v>
          </cell>
        </row>
        <row r="82">
          <cell r="A82" t="str">
            <v>INDGDRHELCN9</v>
          </cell>
          <cell r="J82">
            <v>2030</v>
          </cell>
          <cell r="L82">
            <v>0.99</v>
          </cell>
          <cell r="O82">
            <v>0.44700000000000001</v>
          </cell>
          <cell r="P82">
            <v>7.5989999999999999E-3</v>
          </cell>
          <cell r="Q82">
            <v>1.8107638888888888</v>
          </cell>
          <cell r="V82">
            <v>1.0000000000000009E-2</v>
          </cell>
        </row>
        <row r="83">
          <cell r="A83" t="str">
            <v>INDGDRHELCN9</v>
          </cell>
          <cell r="J83">
            <v>2050</v>
          </cell>
          <cell r="L83">
            <v>0.99</v>
          </cell>
          <cell r="O83">
            <v>0.44700000000000001</v>
          </cell>
          <cell r="P83">
            <v>6.8539999999999998E-3</v>
          </cell>
          <cell r="Q83">
            <v>1.6141666666666665</v>
          </cell>
          <cell r="V83">
            <v>1.0000000000000009E-2</v>
          </cell>
        </row>
        <row r="84">
          <cell r="A84" t="str">
            <v>INDGDHTWCHN1</v>
          </cell>
          <cell r="J84">
            <v>2020</v>
          </cell>
          <cell r="L84">
            <v>0.89</v>
          </cell>
          <cell r="N84">
            <v>25</v>
          </cell>
          <cell r="O84">
            <v>4.6054545454545455</v>
          </cell>
          <cell r="P84">
            <v>0.25106499999999998</v>
          </cell>
          <cell r="Q84">
            <v>5.7509861111111107</v>
          </cell>
          <cell r="R84">
            <v>3.1536000000000002E-2</v>
          </cell>
          <cell r="S84">
            <v>0.5</v>
          </cell>
          <cell r="T84">
            <v>1</v>
          </cell>
          <cell r="V84">
            <v>0.41</v>
          </cell>
        </row>
        <row r="85">
          <cell r="A85" t="str">
            <v>INDGDHTWCHN1</v>
          </cell>
          <cell r="J85">
            <v>2030</v>
          </cell>
          <cell r="L85">
            <v>0.89</v>
          </cell>
          <cell r="O85">
            <v>4.4022727272727264</v>
          </cell>
          <cell r="P85">
            <v>0.267455</v>
          </cell>
          <cell r="Q85">
            <v>5.8461805555555557</v>
          </cell>
          <cell r="V85">
            <v>0.41</v>
          </cell>
        </row>
        <row r="86">
          <cell r="A86" t="str">
            <v>INDGDHTWCHN1</v>
          </cell>
          <cell r="J86">
            <v>2050</v>
          </cell>
          <cell r="L86">
            <v>0.9</v>
          </cell>
          <cell r="O86">
            <v>3.9959090909090902</v>
          </cell>
          <cell r="P86">
            <v>0.25106499999999998</v>
          </cell>
          <cell r="Q86">
            <v>5.8937777777777782</v>
          </cell>
          <cell r="V86">
            <v>0.39999999999999997</v>
          </cell>
        </row>
        <row r="87">
          <cell r="A87" t="str">
            <v>INDGDMTWCHN1</v>
          </cell>
          <cell r="J87">
            <v>2020</v>
          </cell>
          <cell r="L87">
            <v>0.89</v>
          </cell>
          <cell r="N87">
            <v>25</v>
          </cell>
          <cell r="O87">
            <v>4.6054545454545455</v>
          </cell>
          <cell r="P87">
            <v>0.25106499999999998</v>
          </cell>
          <cell r="Q87">
            <v>5.7509861111111107</v>
          </cell>
          <cell r="R87">
            <v>3.1536000000000002E-2</v>
          </cell>
          <cell r="S87">
            <v>0.5</v>
          </cell>
          <cell r="T87">
            <v>0.97</v>
          </cell>
          <cell r="V87">
            <v>0.31</v>
          </cell>
        </row>
        <row r="88">
          <cell r="A88" t="str">
            <v>INDGDMTWCHN1</v>
          </cell>
          <cell r="J88">
            <v>2030</v>
          </cell>
          <cell r="L88">
            <v>0.89</v>
          </cell>
          <cell r="O88">
            <v>4.4022727272727264</v>
          </cell>
          <cell r="P88">
            <v>0.267455</v>
          </cell>
          <cell r="Q88">
            <v>5.8461805555555557</v>
          </cell>
          <cell r="V88">
            <v>0.31</v>
          </cell>
        </row>
        <row r="89">
          <cell r="A89" t="str">
            <v>INDGDMTWCHN1</v>
          </cell>
          <cell r="J89">
            <v>2050</v>
          </cell>
          <cell r="L89">
            <v>0.9</v>
          </cell>
          <cell r="O89">
            <v>3.9959090909090902</v>
          </cell>
          <cell r="P89">
            <v>0.25106499999999998</v>
          </cell>
          <cell r="Q89">
            <v>5.8937777777777782</v>
          </cell>
          <cell r="V89">
            <v>0.3</v>
          </cell>
        </row>
        <row r="90">
          <cell r="A90" t="str">
            <v>INDGDRHWCHN1</v>
          </cell>
          <cell r="J90">
            <v>2020</v>
          </cell>
          <cell r="L90">
            <v>0.89</v>
          </cell>
          <cell r="N90">
            <v>25</v>
          </cell>
          <cell r="O90">
            <v>4.6054545454545455</v>
          </cell>
          <cell r="P90">
            <v>0.25106499999999998</v>
          </cell>
          <cell r="Q90">
            <v>5.7509861111111107</v>
          </cell>
          <cell r="R90">
            <v>3.1536000000000002E-2</v>
          </cell>
          <cell r="S90">
            <v>0.5</v>
          </cell>
          <cell r="T90">
            <v>1</v>
          </cell>
          <cell r="V90">
            <v>0.10999999999999999</v>
          </cell>
        </row>
        <row r="91">
          <cell r="A91" t="str">
            <v>INDGDRHWCHN1</v>
          </cell>
          <cell r="J91">
            <v>2030</v>
          </cell>
          <cell r="L91">
            <v>0.89</v>
          </cell>
          <cell r="O91">
            <v>4.4022727272727264</v>
          </cell>
          <cell r="P91">
            <v>0.267455</v>
          </cell>
          <cell r="Q91">
            <v>5.8461805555555557</v>
          </cell>
          <cell r="V91">
            <v>0.10999999999999999</v>
          </cell>
        </row>
        <row r="92">
          <cell r="A92" t="str">
            <v>INDGDRHWCHN1</v>
          </cell>
          <cell r="J92">
            <v>2050</v>
          </cell>
          <cell r="L92">
            <v>0.9</v>
          </cell>
          <cell r="O92">
            <v>3.9959090909090902</v>
          </cell>
          <cell r="P92">
            <v>0.25106499999999998</v>
          </cell>
          <cell r="Q92">
            <v>5.8937777777777782</v>
          </cell>
          <cell r="V92">
            <v>9.9999999999999978E-2</v>
          </cell>
        </row>
        <row r="93">
          <cell r="A93" t="str">
            <v>INDGDMTWCHN2</v>
          </cell>
          <cell r="J93">
            <v>2020</v>
          </cell>
          <cell r="L93">
            <v>1.1618960947726835</v>
          </cell>
          <cell r="N93">
            <v>25</v>
          </cell>
          <cell r="O93">
            <v>5.0660000000000007</v>
          </cell>
          <cell r="P93">
            <v>0.27564999999999995</v>
          </cell>
          <cell r="Q93">
            <v>5.7509861111111107</v>
          </cell>
          <cell r="R93">
            <v>3.1536000000000002E-2</v>
          </cell>
          <cell r="S93">
            <v>0.5</v>
          </cell>
          <cell r="T93">
            <v>0</v>
          </cell>
          <cell r="V93">
            <v>3.8103905227316492E-2</v>
          </cell>
        </row>
        <row r="94">
          <cell r="A94" t="str">
            <v>INDGDMTWCHN2</v>
          </cell>
          <cell r="J94">
            <v>2030</v>
          </cell>
          <cell r="L94">
            <v>1.1618960947726835</v>
          </cell>
          <cell r="O94">
            <v>4.8425000000000002</v>
          </cell>
          <cell r="P94">
            <v>0.267455</v>
          </cell>
          <cell r="Q94">
            <v>5.8461805555555557</v>
          </cell>
          <cell r="V94">
            <v>3.8103905227316492E-2</v>
          </cell>
        </row>
        <row r="95">
          <cell r="A95" t="str">
            <v>INDGDMTWCHN2</v>
          </cell>
          <cell r="J95">
            <v>2050</v>
          </cell>
          <cell r="L95">
            <v>1.1618960947726835</v>
          </cell>
          <cell r="O95">
            <v>4.3955000000000002</v>
          </cell>
          <cell r="P95">
            <v>0.25106499999999998</v>
          </cell>
          <cell r="Q95">
            <v>5.8937777777777782</v>
          </cell>
          <cell r="V95">
            <v>3.8103905227316492E-2</v>
          </cell>
        </row>
        <row r="96">
          <cell r="A96" t="str">
            <v>INDGDRHWCHN2</v>
          </cell>
          <cell r="J96">
            <v>2020</v>
          </cell>
          <cell r="L96">
            <v>1.1618960947726835</v>
          </cell>
          <cell r="N96">
            <v>25</v>
          </cell>
          <cell r="O96">
            <v>5.0660000000000007</v>
          </cell>
          <cell r="P96">
            <v>0.27564999999999995</v>
          </cell>
          <cell r="Q96">
            <v>5.7509861111111107</v>
          </cell>
          <cell r="R96">
            <v>3.1536000000000002E-2</v>
          </cell>
          <cell r="S96">
            <v>0.5</v>
          </cell>
          <cell r="T96">
            <v>0</v>
          </cell>
          <cell r="V96">
            <v>-0.16189609477268352</v>
          </cell>
        </row>
        <row r="97">
          <cell r="A97" t="str">
            <v>INDGDRHWCHN2</v>
          </cell>
          <cell r="J97">
            <v>2030</v>
          </cell>
          <cell r="L97">
            <v>1.1618960947726835</v>
          </cell>
          <cell r="O97">
            <v>4.8425000000000002</v>
          </cell>
          <cell r="P97">
            <v>0.267455</v>
          </cell>
          <cell r="Q97">
            <v>5.8461805555555557</v>
          </cell>
          <cell r="V97">
            <v>-0.16189609477268352</v>
          </cell>
        </row>
        <row r="98">
          <cell r="A98" t="str">
            <v>INDGDRHWCHN2</v>
          </cell>
          <cell r="J98">
            <v>2050</v>
          </cell>
          <cell r="L98">
            <v>1.1618960947726835</v>
          </cell>
          <cell r="O98">
            <v>4.3955000000000002</v>
          </cell>
          <cell r="P98">
            <v>0.25106499999999998</v>
          </cell>
          <cell r="Q98">
            <v>5.8937777777777782</v>
          </cell>
          <cell r="V98">
            <v>-0.16189609477268352</v>
          </cell>
        </row>
        <row r="99">
          <cell r="A99" t="str">
            <v>INDGDMTWCHN3</v>
          </cell>
          <cell r="J99">
            <v>2020</v>
          </cell>
          <cell r="L99">
            <v>0.9</v>
          </cell>
          <cell r="N99">
            <v>25</v>
          </cell>
          <cell r="O99">
            <v>4.6054545454545437</v>
          </cell>
          <cell r="P99">
            <v>0.25106499999999998</v>
          </cell>
          <cell r="Q99">
            <v>5.7509861111111107</v>
          </cell>
          <cell r="R99">
            <v>3.1536000000000002E-2</v>
          </cell>
          <cell r="S99">
            <v>0.5</v>
          </cell>
          <cell r="T99">
            <v>0.5</v>
          </cell>
          <cell r="V99">
            <v>0.3</v>
          </cell>
        </row>
        <row r="100">
          <cell r="A100" t="str">
            <v>INDGDMTWCHN3</v>
          </cell>
          <cell r="J100">
            <v>2030</v>
          </cell>
          <cell r="L100">
            <v>0.9</v>
          </cell>
          <cell r="O100">
            <v>4.4022727272727282</v>
          </cell>
          <cell r="P100">
            <v>0.267455</v>
          </cell>
          <cell r="Q100">
            <v>5.8461805555555557</v>
          </cell>
          <cell r="V100">
            <v>0.3</v>
          </cell>
        </row>
        <row r="101">
          <cell r="A101" t="str">
            <v>INDGDMTWCHN3</v>
          </cell>
          <cell r="J101">
            <v>2050</v>
          </cell>
          <cell r="L101">
            <v>0.91</v>
          </cell>
          <cell r="O101">
            <v>3.9959090909090884</v>
          </cell>
          <cell r="P101">
            <v>0.25106499999999998</v>
          </cell>
          <cell r="Q101">
            <v>5.8937777777777782</v>
          </cell>
          <cell r="V101">
            <v>0.28999999999999998</v>
          </cell>
        </row>
        <row r="102">
          <cell r="A102" t="str">
            <v>INDGDRHWCHN3</v>
          </cell>
          <cell r="J102">
            <v>2020</v>
          </cell>
          <cell r="L102">
            <v>0.9</v>
          </cell>
          <cell r="N102">
            <v>25</v>
          </cell>
          <cell r="O102">
            <v>4.6054545454545437</v>
          </cell>
          <cell r="P102">
            <v>0.25106499999999998</v>
          </cell>
          <cell r="Q102">
            <v>5.7509861111111107</v>
          </cell>
          <cell r="R102">
            <v>3.1536000000000002E-2</v>
          </cell>
          <cell r="S102">
            <v>0.5</v>
          </cell>
          <cell r="T102">
            <v>1</v>
          </cell>
          <cell r="V102">
            <v>9.9999999999999978E-2</v>
          </cell>
        </row>
        <row r="103">
          <cell r="A103" t="str">
            <v>INDGDRHWCHN3</v>
          </cell>
          <cell r="J103">
            <v>2030</v>
          </cell>
          <cell r="L103">
            <v>0.9</v>
          </cell>
          <cell r="O103">
            <v>4.4022727272727282</v>
          </cell>
          <cell r="P103">
            <v>0.267455</v>
          </cell>
          <cell r="Q103">
            <v>5.8461805555555557</v>
          </cell>
          <cell r="V103">
            <v>9.9999999999999978E-2</v>
          </cell>
        </row>
        <row r="104">
          <cell r="A104" t="str">
            <v>INDGDRHWCHN3</v>
          </cell>
          <cell r="J104">
            <v>2050</v>
          </cell>
          <cell r="L104">
            <v>0.91</v>
          </cell>
          <cell r="O104">
            <v>3.9959090909090884</v>
          </cell>
          <cell r="P104">
            <v>0.25106499999999998</v>
          </cell>
          <cell r="Q104">
            <v>5.8937777777777782</v>
          </cell>
          <cell r="V104">
            <v>8.9999999999999969E-2</v>
          </cell>
        </row>
        <row r="105">
          <cell r="A105" t="str">
            <v>INDGDMTWCHN4</v>
          </cell>
          <cell r="J105">
            <v>2020</v>
          </cell>
          <cell r="L105">
            <v>1.1618960947726835</v>
          </cell>
          <cell r="N105">
            <v>25</v>
          </cell>
          <cell r="O105">
            <v>5.0660000000000007</v>
          </cell>
          <cell r="P105">
            <v>0.27564999999999995</v>
          </cell>
          <cell r="Q105">
            <v>5.7509861111111107</v>
          </cell>
          <cell r="R105">
            <v>3.1536000000000002E-2</v>
          </cell>
          <cell r="S105">
            <v>0.5</v>
          </cell>
          <cell r="T105">
            <v>0</v>
          </cell>
          <cell r="V105">
            <v>3.8103905227316492E-2</v>
          </cell>
        </row>
        <row r="106">
          <cell r="A106" t="str">
            <v>INDGDMTWCHN4</v>
          </cell>
          <cell r="J106">
            <v>2030</v>
          </cell>
          <cell r="L106">
            <v>1.1618960947726835</v>
          </cell>
          <cell r="O106">
            <v>4.8425000000000002</v>
          </cell>
          <cell r="P106">
            <v>0.267455</v>
          </cell>
          <cell r="Q106">
            <v>5.8461805555555557</v>
          </cell>
          <cell r="V106">
            <v>3.8103905227316492E-2</v>
          </cell>
        </row>
        <row r="107">
          <cell r="A107" t="str">
            <v>INDGDMTWCHN4</v>
          </cell>
          <cell r="J107">
            <v>2050</v>
          </cell>
          <cell r="L107">
            <v>1.1618960947726835</v>
          </cell>
          <cell r="O107">
            <v>4.3955000000000002</v>
          </cell>
          <cell r="P107">
            <v>0.25106499999999998</v>
          </cell>
          <cell r="Q107">
            <v>5.8937777777777782</v>
          </cell>
          <cell r="V107">
            <v>3.8103905227316492E-2</v>
          </cell>
        </row>
        <row r="108">
          <cell r="A108" t="str">
            <v>INDGDRHWCHN4</v>
          </cell>
          <cell r="J108">
            <v>2020</v>
          </cell>
          <cell r="L108">
            <v>1.1618960947726835</v>
          </cell>
          <cell r="N108">
            <v>25</v>
          </cell>
          <cell r="O108">
            <v>5.0660000000000007</v>
          </cell>
          <cell r="P108">
            <v>0.27564999999999995</v>
          </cell>
          <cell r="Q108">
            <v>5.7509861111111107</v>
          </cell>
          <cell r="R108">
            <v>3.1536000000000002E-2</v>
          </cell>
          <cell r="S108">
            <v>0.5</v>
          </cell>
          <cell r="T108">
            <v>0</v>
          </cell>
          <cell r="V108">
            <v>-0.16189609477268352</v>
          </cell>
        </row>
        <row r="109">
          <cell r="A109" t="str">
            <v>INDGDRHWCHN4</v>
          </cell>
          <cell r="J109">
            <v>2030</v>
          </cell>
          <cell r="L109">
            <v>1.1618960947726835</v>
          </cell>
          <cell r="O109">
            <v>4.8425000000000002</v>
          </cell>
          <cell r="P109">
            <v>0.267455</v>
          </cell>
          <cell r="Q109">
            <v>5.8461805555555557</v>
          </cell>
          <cell r="V109">
            <v>-0.16189609477268352</v>
          </cell>
        </row>
        <row r="110">
          <cell r="A110" t="str">
            <v>INDGDRHWCHN4</v>
          </cell>
          <cell r="J110">
            <v>2050</v>
          </cell>
          <cell r="L110">
            <v>1.1618960947726835</v>
          </cell>
          <cell r="O110">
            <v>4.3955000000000002</v>
          </cell>
          <cell r="P110">
            <v>0.25106499999999998</v>
          </cell>
          <cell r="Q110">
            <v>5.8937777777777782</v>
          </cell>
          <cell r="V110">
            <v>-0.16189609477268352</v>
          </cell>
        </row>
        <row r="111">
          <cell r="A111" t="str">
            <v>INDGDHTELCN10</v>
          </cell>
          <cell r="J111">
            <v>2020</v>
          </cell>
          <cell r="L111">
            <v>1</v>
          </cell>
          <cell r="N111">
            <v>12.5</v>
          </cell>
          <cell r="O111">
            <v>0.44700000000000001</v>
          </cell>
          <cell r="P111">
            <v>0</v>
          </cell>
          <cell r="Q111">
            <v>0.37767361111111114</v>
          </cell>
          <cell r="R111">
            <v>3.1536000000000002E-2</v>
          </cell>
          <cell r="S111">
            <v>0.5</v>
          </cell>
          <cell r="T111">
            <v>0</v>
          </cell>
          <cell r="V111">
            <v>0.3</v>
          </cell>
        </row>
        <row r="112">
          <cell r="A112" t="str">
            <v>INDGDHTELCN10</v>
          </cell>
          <cell r="J112">
            <v>2030</v>
          </cell>
          <cell r="L112">
            <v>1</v>
          </cell>
          <cell r="O112">
            <v>0.44700000000000001</v>
          </cell>
          <cell r="P112">
            <v>0</v>
          </cell>
          <cell r="Q112">
            <v>0.38802083333333331</v>
          </cell>
          <cell r="V112">
            <v>0.3</v>
          </cell>
        </row>
        <row r="113">
          <cell r="A113" t="str">
            <v>INDGDHTELCN10</v>
          </cell>
          <cell r="J113">
            <v>2050</v>
          </cell>
          <cell r="L113">
            <v>1</v>
          </cell>
          <cell r="O113">
            <v>0.44700000000000001</v>
          </cell>
          <cell r="P113">
            <v>0</v>
          </cell>
          <cell r="Q113">
            <v>0.39319444444444446</v>
          </cell>
          <cell r="V113">
            <v>0.3</v>
          </cell>
        </row>
        <row r="114">
          <cell r="A114" t="str">
            <v>INDGDMTELCN10</v>
          </cell>
          <cell r="J114">
            <v>2020</v>
          </cell>
          <cell r="L114">
            <v>1</v>
          </cell>
          <cell r="N114">
            <v>12.5</v>
          </cell>
          <cell r="O114">
            <v>0.44700000000000001</v>
          </cell>
          <cell r="P114">
            <v>0</v>
          </cell>
          <cell r="Q114">
            <v>0.37767361111111114</v>
          </cell>
          <cell r="R114">
            <v>3.1536000000000002E-2</v>
          </cell>
          <cell r="S114">
            <v>0.5</v>
          </cell>
          <cell r="T114">
            <v>0.5</v>
          </cell>
          <cell r="V114">
            <v>0.2</v>
          </cell>
        </row>
        <row r="115">
          <cell r="A115" t="str">
            <v>INDGDMTELCN10</v>
          </cell>
          <cell r="J115">
            <v>2030</v>
          </cell>
          <cell r="L115">
            <v>1</v>
          </cell>
          <cell r="O115">
            <v>0.44700000000000001</v>
          </cell>
          <cell r="P115">
            <v>0</v>
          </cell>
          <cell r="Q115">
            <v>0.38802083333333331</v>
          </cell>
          <cell r="V115">
            <v>0.2</v>
          </cell>
        </row>
        <row r="116">
          <cell r="A116" t="str">
            <v>INDGDMTELCN10</v>
          </cell>
          <cell r="J116">
            <v>2050</v>
          </cell>
          <cell r="L116">
            <v>1</v>
          </cell>
          <cell r="O116">
            <v>0.44700000000000001</v>
          </cell>
          <cell r="P116">
            <v>0</v>
          </cell>
          <cell r="Q116">
            <v>0.39319444444444446</v>
          </cell>
          <cell r="V116">
            <v>0.2</v>
          </cell>
        </row>
        <row r="117">
          <cell r="A117" t="str">
            <v>INDGDHTDSLN1</v>
          </cell>
          <cell r="J117">
            <v>2020</v>
          </cell>
          <cell r="L117">
            <v>0.94</v>
          </cell>
          <cell r="N117">
            <v>25</v>
          </cell>
          <cell r="O117">
            <v>0.40975</v>
          </cell>
          <cell r="P117">
            <v>1.341E-2</v>
          </cell>
          <cell r="Q117">
            <v>2.0694444444444446</v>
          </cell>
          <cell r="R117">
            <v>3.1536000000000002E-2</v>
          </cell>
          <cell r="S117">
            <v>0.5</v>
          </cell>
          <cell r="T117">
            <v>1</v>
          </cell>
          <cell r="V117">
            <v>0.36000000000000004</v>
          </cell>
        </row>
        <row r="118">
          <cell r="A118" t="str">
            <v>INDGDHTDSLN1</v>
          </cell>
          <cell r="J118">
            <v>2030</v>
          </cell>
          <cell r="L118">
            <v>0.95</v>
          </cell>
          <cell r="O118">
            <v>0.3469940346244772</v>
          </cell>
          <cell r="P118">
            <v>1.2664999999999999E-2</v>
          </cell>
          <cell r="Q118">
            <v>1.8625</v>
          </cell>
          <cell r="V118">
            <v>0.35000000000000003</v>
          </cell>
        </row>
        <row r="119">
          <cell r="A119" t="str">
            <v>INDGDHTDSLN1</v>
          </cell>
          <cell r="J119">
            <v>2050</v>
          </cell>
          <cell r="L119">
            <v>0.96</v>
          </cell>
          <cell r="O119">
            <v>0.32813985758696651</v>
          </cell>
          <cell r="P119">
            <v>1.1175000000000001E-2</v>
          </cell>
          <cell r="Q119">
            <v>1.8625</v>
          </cell>
          <cell r="V119">
            <v>0.34</v>
          </cell>
        </row>
        <row r="120">
          <cell r="A120" t="str">
            <v>INDGDMTDSLN1</v>
          </cell>
          <cell r="J120">
            <v>2020</v>
          </cell>
          <cell r="L120">
            <v>0.94</v>
          </cell>
          <cell r="N120">
            <v>25</v>
          </cell>
          <cell r="O120">
            <v>0.40975</v>
          </cell>
          <cell r="P120">
            <v>1.341E-2</v>
          </cell>
          <cell r="Q120">
            <v>2.0694444444444446</v>
          </cell>
          <cell r="R120">
            <v>3.1536000000000002E-2</v>
          </cell>
          <cell r="S120">
            <v>0.5</v>
          </cell>
          <cell r="T120">
            <v>0.97</v>
          </cell>
          <cell r="V120">
            <v>0.26000000000000006</v>
          </cell>
        </row>
        <row r="121">
          <cell r="A121" t="str">
            <v>INDGDMTDSLN1</v>
          </cell>
          <cell r="J121">
            <v>2030</v>
          </cell>
          <cell r="L121">
            <v>0.95</v>
          </cell>
          <cell r="O121">
            <v>0.3469940346244772</v>
          </cell>
          <cell r="P121">
            <v>1.2664999999999999E-2</v>
          </cell>
          <cell r="Q121">
            <v>1.8625</v>
          </cell>
          <cell r="V121">
            <v>0.25000000000000006</v>
          </cell>
        </row>
        <row r="122">
          <cell r="A122" t="str">
            <v>INDGDMTDSLN1</v>
          </cell>
          <cell r="J122">
            <v>2050</v>
          </cell>
          <cell r="L122">
            <v>0.96</v>
          </cell>
          <cell r="O122">
            <v>0.32813985758696651</v>
          </cell>
          <cell r="P122">
            <v>1.1175000000000001E-2</v>
          </cell>
          <cell r="Q122">
            <v>1.8625</v>
          </cell>
          <cell r="V122">
            <v>0.24000000000000005</v>
          </cell>
        </row>
        <row r="123">
          <cell r="A123" t="str">
            <v>INDGDRHDSLN1</v>
          </cell>
          <cell r="J123">
            <v>2020</v>
          </cell>
          <cell r="L123">
            <v>0.94</v>
          </cell>
          <cell r="N123">
            <v>25</v>
          </cell>
          <cell r="O123">
            <v>0.40975</v>
          </cell>
          <cell r="P123">
            <v>1.341E-2</v>
          </cell>
          <cell r="Q123">
            <v>2.0694444444444446</v>
          </cell>
          <cell r="R123">
            <v>3.1536000000000002E-2</v>
          </cell>
          <cell r="S123">
            <v>0.5</v>
          </cell>
          <cell r="T123">
            <v>1</v>
          </cell>
          <cell r="V123">
            <v>6.0000000000000053E-2</v>
          </cell>
        </row>
        <row r="124">
          <cell r="A124" t="str">
            <v>INDGDRHDSLN1</v>
          </cell>
          <cell r="J124">
            <v>2030</v>
          </cell>
          <cell r="L124">
            <v>0.95</v>
          </cell>
          <cell r="O124">
            <v>0.3469940346244772</v>
          </cell>
          <cell r="P124">
            <v>1.2664999999999999E-2</v>
          </cell>
          <cell r="Q124">
            <v>1.8625</v>
          </cell>
          <cell r="V124">
            <v>5.0000000000000044E-2</v>
          </cell>
        </row>
        <row r="125">
          <cell r="A125" t="str">
            <v>INDGDRHDSLN1</v>
          </cell>
          <cell r="J125">
            <v>2050</v>
          </cell>
          <cell r="L125">
            <v>0.96</v>
          </cell>
          <cell r="O125">
            <v>0.32813985758696651</v>
          </cell>
          <cell r="P125">
            <v>1.1175000000000001E-2</v>
          </cell>
          <cell r="Q125">
            <v>1.8625</v>
          </cell>
          <cell r="V125">
            <v>4.0000000000000036E-2</v>
          </cell>
        </row>
        <row r="126">
          <cell r="A126" t="str">
            <v>INDGDMTDSLN2</v>
          </cell>
          <cell r="J126">
            <v>2020</v>
          </cell>
          <cell r="L126">
            <v>0.95</v>
          </cell>
          <cell r="N126">
            <v>25</v>
          </cell>
          <cell r="O126">
            <v>0.32780000000000004</v>
          </cell>
          <cell r="P126">
            <v>1.341E-2</v>
          </cell>
          <cell r="Q126">
            <v>2.0694444444444446</v>
          </cell>
          <cell r="R126">
            <v>3.1536000000000002E-2</v>
          </cell>
          <cell r="S126">
            <v>0.5</v>
          </cell>
          <cell r="T126">
            <v>0.5</v>
          </cell>
          <cell r="V126">
            <v>0.25000000000000006</v>
          </cell>
        </row>
        <row r="127">
          <cell r="A127" t="str">
            <v>INDGDMTDSLN2</v>
          </cell>
          <cell r="J127">
            <v>2030</v>
          </cell>
          <cell r="L127">
            <v>0.96</v>
          </cell>
          <cell r="O127">
            <v>0.27759522769958173</v>
          </cell>
          <cell r="P127">
            <v>1.2664999999999999E-2</v>
          </cell>
          <cell r="Q127">
            <v>1.8625</v>
          </cell>
          <cell r="V127">
            <v>0.24000000000000005</v>
          </cell>
        </row>
        <row r="128">
          <cell r="A128" t="str">
            <v>INDGDMTDSLN2</v>
          </cell>
          <cell r="J128">
            <v>2050</v>
          </cell>
          <cell r="L128">
            <v>0.97</v>
          </cell>
          <cell r="O128">
            <v>0.26251188606957326</v>
          </cell>
          <cell r="P128">
            <v>1.1175000000000001E-2</v>
          </cell>
          <cell r="Q128">
            <v>1.8625</v>
          </cell>
          <cell r="V128">
            <v>0.23000000000000004</v>
          </cell>
        </row>
        <row r="129">
          <cell r="A129" t="str">
            <v>INDGDRHDSLN2</v>
          </cell>
          <cell r="J129">
            <v>2020</v>
          </cell>
          <cell r="L129">
            <v>0.95</v>
          </cell>
          <cell r="N129">
            <v>25</v>
          </cell>
          <cell r="O129">
            <v>0.32780000000000004</v>
          </cell>
          <cell r="P129">
            <v>1.341E-2</v>
          </cell>
          <cell r="Q129">
            <v>2.0694444444444446</v>
          </cell>
          <cell r="R129">
            <v>3.1536000000000002E-2</v>
          </cell>
          <cell r="S129">
            <v>0.5</v>
          </cell>
          <cell r="T129">
            <v>1</v>
          </cell>
          <cell r="V129">
            <v>5.0000000000000044E-2</v>
          </cell>
        </row>
        <row r="130">
          <cell r="A130" t="str">
            <v>INDGDRHDSLN2</v>
          </cell>
          <cell r="J130">
            <v>2030</v>
          </cell>
          <cell r="L130">
            <v>0.96</v>
          </cell>
          <cell r="O130">
            <v>0.27759522769958173</v>
          </cell>
          <cell r="P130">
            <v>1.2664999999999999E-2</v>
          </cell>
          <cell r="Q130">
            <v>1.8625</v>
          </cell>
          <cell r="V130">
            <v>4.0000000000000036E-2</v>
          </cell>
        </row>
        <row r="131">
          <cell r="A131" t="str">
            <v>INDGDRHDSLN2</v>
          </cell>
          <cell r="J131">
            <v>2050</v>
          </cell>
          <cell r="L131">
            <v>0.97</v>
          </cell>
          <cell r="O131">
            <v>0.26251188606957326</v>
          </cell>
          <cell r="P131">
            <v>1.1175000000000001E-2</v>
          </cell>
          <cell r="Q131">
            <v>1.8625</v>
          </cell>
          <cell r="V131">
            <v>3.0000000000000027E-2</v>
          </cell>
        </row>
        <row r="132">
          <cell r="A132" t="str">
            <v>INDGDHTGASN1</v>
          </cell>
          <cell r="D132" t="str">
            <v>INDGDHTGASN1</v>
          </cell>
          <cell r="E132" t="str">
            <v>Industrial heating technology Glass &amp; Concrete HT - Gas boiler (Steam) - new 1</v>
          </cell>
          <cell r="G132" t="str">
            <v>INDNGA, INDBGA, INDSNG1, INDSNG2, INDLPG</v>
          </cell>
          <cell r="H132" t="str">
            <v>IGDHT</v>
          </cell>
          <cell r="I132" t="str">
            <v>INDGWH</v>
          </cell>
          <cell r="J132">
            <v>2020</v>
          </cell>
          <cell r="L132">
            <v>0.92</v>
          </cell>
          <cell r="N132">
            <v>25</v>
          </cell>
          <cell r="O132">
            <v>0.40636363636363632</v>
          </cell>
          <cell r="P132">
            <v>1.49E-2</v>
          </cell>
          <cell r="Q132">
            <v>2.276388888888889</v>
          </cell>
          <cell r="R132">
            <v>3.1536000000000002E-2</v>
          </cell>
          <cell r="S132">
            <v>0.5</v>
          </cell>
          <cell r="T132">
            <v>1</v>
          </cell>
          <cell r="V132">
            <v>0.37999999999999995</v>
          </cell>
        </row>
        <row r="133">
          <cell r="A133" t="str">
            <v>INDGDHTGASN1</v>
          </cell>
          <cell r="J133">
            <v>2030</v>
          </cell>
          <cell r="L133">
            <v>0.93</v>
          </cell>
          <cell r="O133">
            <v>0.33863636363636368</v>
          </cell>
          <cell r="P133">
            <v>1.4154999999999999E-2</v>
          </cell>
          <cell r="Q133">
            <v>2.0694444444444446</v>
          </cell>
          <cell r="V133">
            <v>0.36999999999999994</v>
          </cell>
        </row>
        <row r="134">
          <cell r="A134" t="str">
            <v>INDGDHTGASN1</v>
          </cell>
          <cell r="J134">
            <v>2050</v>
          </cell>
          <cell r="L134">
            <v>0.94</v>
          </cell>
          <cell r="O134">
            <v>0.33863636363636368</v>
          </cell>
          <cell r="P134">
            <v>1.2664999999999999E-2</v>
          </cell>
          <cell r="Q134">
            <v>2.0694444444444446</v>
          </cell>
          <cell r="V134">
            <v>0.36000000000000004</v>
          </cell>
        </row>
        <row r="135">
          <cell r="A135" t="str">
            <v>INDGDMTGASN1</v>
          </cell>
          <cell r="D135" t="str">
            <v>INDGDMTGASN1</v>
          </cell>
          <cell r="E135" t="str">
            <v>Industrial heating technology Glass &amp; Concrete MT - Gas boiler (Steam) - new 1</v>
          </cell>
          <cell r="J135">
            <v>2020</v>
          </cell>
          <cell r="L135">
            <v>0.92</v>
          </cell>
          <cell r="N135">
            <v>25</v>
          </cell>
          <cell r="O135">
            <v>0.40636363636363632</v>
          </cell>
          <cell r="P135">
            <v>1.49E-2</v>
          </cell>
          <cell r="Q135">
            <v>2.276388888888889</v>
          </cell>
          <cell r="R135">
            <v>3.1536000000000002E-2</v>
          </cell>
          <cell r="S135">
            <v>0.5</v>
          </cell>
          <cell r="T135">
            <v>0.97</v>
          </cell>
          <cell r="V135">
            <v>0.27999999999999997</v>
          </cell>
        </row>
        <row r="136">
          <cell r="A136" t="str">
            <v>INDGDMTGASN1</v>
          </cell>
          <cell r="J136">
            <v>2030</v>
          </cell>
          <cell r="L136">
            <v>0.93</v>
          </cell>
          <cell r="O136">
            <v>0.33863636363636368</v>
          </cell>
          <cell r="P136">
            <v>1.4154999999999999E-2</v>
          </cell>
          <cell r="Q136">
            <v>2.0694444444444446</v>
          </cell>
          <cell r="V136">
            <v>0.26999999999999996</v>
          </cell>
        </row>
        <row r="137">
          <cell r="A137" t="str">
            <v>INDGDMTGASN1</v>
          </cell>
          <cell r="J137">
            <v>2050</v>
          </cell>
          <cell r="L137">
            <v>0.94</v>
          </cell>
          <cell r="O137">
            <v>0.33863636363636368</v>
          </cell>
          <cell r="P137">
            <v>1.2664999999999999E-2</v>
          </cell>
          <cell r="Q137">
            <v>2.0694444444444446</v>
          </cell>
          <cell r="V137">
            <v>0.26000000000000006</v>
          </cell>
        </row>
        <row r="138">
          <cell r="A138" t="str">
            <v>INDGDRHGASN1</v>
          </cell>
          <cell r="D138" t="str">
            <v>INDGDRHGASN1</v>
          </cell>
          <cell r="E138" t="str">
            <v>Industrial heating technology Glass &amp; Concrete RH - Gas boiler (Steam) - new 1</v>
          </cell>
          <cell r="J138">
            <v>2020</v>
          </cell>
          <cell r="L138">
            <v>0.92</v>
          </cell>
          <cell r="N138">
            <v>25</v>
          </cell>
          <cell r="O138">
            <v>0.40636363636363632</v>
          </cell>
          <cell r="P138">
            <v>1.49E-2</v>
          </cell>
          <cell r="Q138">
            <v>2.276388888888889</v>
          </cell>
          <cell r="R138">
            <v>3.1536000000000002E-2</v>
          </cell>
          <cell r="S138">
            <v>0.5</v>
          </cell>
          <cell r="T138">
            <v>1</v>
          </cell>
          <cell r="V138">
            <v>7.999999999999996E-2</v>
          </cell>
        </row>
        <row r="139">
          <cell r="A139" t="str">
            <v>INDGDRHGASN1</v>
          </cell>
          <cell r="J139">
            <v>2030</v>
          </cell>
          <cell r="L139">
            <v>0.93</v>
          </cell>
          <cell r="O139">
            <v>0.33863636363636368</v>
          </cell>
          <cell r="P139">
            <v>1.4154999999999999E-2</v>
          </cell>
          <cell r="Q139">
            <v>2.0694444444444446</v>
          </cell>
          <cell r="V139">
            <v>6.9999999999999951E-2</v>
          </cell>
        </row>
        <row r="140">
          <cell r="A140" t="str">
            <v>INDGDRHGASN1</v>
          </cell>
          <cell r="J140">
            <v>2050</v>
          </cell>
          <cell r="L140">
            <v>0.94</v>
          </cell>
          <cell r="O140">
            <v>0.33863636363636368</v>
          </cell>
          <cell r="P140">
            <v>1.2664999999999999E-2</v>
          </cell>
          <cell r="Q140">
            <v>2.0694444444444446</v>
          </cell>
          <cell r="V140">
            <v>6.0000000000000053E-2</v>
          </cell>
        </row>
        <row r="141">
          <cell r="A141" t="str">
            <v>INDGDMTGASN2</v>
          </cell>
          <cell r="D141" t="str">
            <v>INDGDMTGASN2</v>
          </cell>
          <cell r="E141" t="str">
            <v>Industrial heating technology Glass &amp; Concrete MT - Gas boiler (Steam - condensing) - new 2</v>
          </cell>
          <cell r="J141">
            <v>2020</v>
          </cell>
          <cell r="L141">
            <v>1.01</v>
          </cell>
          <cell r="N141">
            <v>25</v>
          </cell>
          <cell r="O141">
            <v>0.44700000000000001</v>
          </cell>
          <cell r="P141">
            <v>1.49E-2</v>
          </cell>
          <cell r="Q141">
            <v>2.276388888888889</v>
          </cell>
          <cell r="R141">
            <v>3.1536000000000002E-2</v>
          </cell>
          <cell r="S141">
            <v>0.5</v>
          </cell>
          <cell r="T141">
            <v>0</v>
          </cell>
          <cell r="V141">
            <v>0.19</v>
          </cell>
        </row>
        <row r="142">
          <cell r="A142" t="str">
            <v>INDGDMTGASN2</v>
          </cell>
          <cell r="J142">
            <v>2030</v>
          </cell>
          <cell r="L142">
            <v>1.03</v>
          </cell>
          <cell r="O142">
            <v>0.37250000000000005</v>
          </cell>
          <cell r="P142">
            <v>1.4154999999999999E-2</v>
          </cell>
          <cell r="Q142">
            <v>2.0694444444444446</v>
          </cell>
          <cell r="V142">
            <v>0.16999999999999998</v>
          </cell>
        </row>
        <row r="143">
          <cell r="A143" t="str">
            <v>INDGDMTGASN2</v>
          </cell>
          <cell r="J143">
            <v>2050</v>
          </cell>
          <cell r="L143">
            <v>1.03</v>
          </cell>
          <cell r="O143">
            <v>0.37250000000000005</v>
          </cell>
          <cell r="P143">
            <v>1.2664999999999999E-2</v>
          </cell>
          <cell r="Q143">
            <v>2.0694444444444446</v>
          </cell>
          <cell r="V143">
            <v>0.16999999999999998</v>
          </cell>
        </row>
        <row r="144">
          <cell r="A144" t="str">
            <v>INDGDRHGASN2</v>
          </cell>
          <cell r="D144" t="str">
            <v>INDGDRHGASN2</v>
          </cell>
          <cell r="E144" t="str">
            <v>Industrial heating technology Glass &amp; Concrete RH - Gas boiler (Steam - condensing) - new 2</v>
          </cell>
          <cell r="J144">
            <v>2020</v>
          </cell>
          <cell r="L144">
            <v>1.01</v>
          </cell>
          <cell r="N144">
            <v>25</v>
          </cell>
          <cell r="O144">
            <v>0.44700000000000001</v>
          </cell>
          <cell r="P144">
            <v>1.49E-2</v>
          </cell>
          <cell r="Q144">
            <v>2.276388888888889</v>
          </cell>
          <cell r="R144">
            <v>3.1536000000000002E-2</v>
          </cell>
          <cell r="S144">
            <v>0.5</v>
          </cell>
          <cell r="T144">
            <v>0</v>
          </cell>
          <cell r="V144">
            <v>-1.0000000000000009E-2</v>
          </cell>
        </row>
        <row r="145">
          <cell r="A145" t="str">
            <v>INDGDRHGASN2</v>
          </cell>
          <cell r="J145">
            <v>2030</v>
          </cell>
          <cell r="L145">
            <v>1.03</v>
          </cell>
          <cell r="O145">
            <v>0.37250000000000005</v>
          </cell>
          <cell r="P145">
            <v>1.4154999999999999E-2</v>
          </cell>
          <cell r="Q145">
            <v>2.0694444444444446</v>
          </cell>
          <cell r="V145">
            <v>-3.0000000000000027E-2</v>
          </cell>
        </row>
        <row r="146">
          <cell r="A146" t="str">
            <v>INDGDRHGASN2</v>
          </cell>
          <cell r="J146">
            <v>2050</v>
          </cell>
          <cell r="L146">
            <v>1.03</v>
          </cell>
          <cell r="O146">
            <v>0.37250000000000005</v>
          </cell>
          <cell r="P146">
            <v>1.2664999999999999E-2</v>
          </cell>
          <cell r="Q146">
            <v>2.0694444444444446</v>
          </cell>
          <cell r="V146">
            <v>-3.0000000000000027E-2</v>
          </cell>
        </row>
        <row r="147">
          <cell r="A147" t="str">
            <v>INDGDMTGASN3</v>
          </cell>
          <cell r="D147" t="str">
            <v>INDGDMTGASN3</v>
          </cell>
          <cell r="E147" t="str">
            <v>Industrial heating technology Glass &amp; Concrete MT - Gas boiler (Hot Water) - new 3</v>
          </cell>
          <cell r="J147">
            <v>2020</v>
          </cell>
          <cell r="L147">
            <v>0.93</v>
          </cell>
          <cell r="N147">
            <v>25</v>
          </cell>
          <cell r="O147">
            <v>0.3250909090909091</v>
          </cell>
          <cell r="P147">
            <v>1.49E-2</v>
          </cell>
          <cell r="Q147">
            <v>2.276388888888889</v>
          </cell>
          <cell r="R147">
            <v>3.1536000000000002E-2</v>
          </cell>
          <cell r="S147">
            <v>0.5</v>
          </cell>
          <cell r="T147">
            <v>0.5</v>
          </cell>
          <cell r="V147">
            <v>0.26999999999999996</v>
          </cell>
        </row>
        <row r="148">
          <cell r="A148" t="str">
            <v>INDGDMTGASN3</v>
          </cell>
          <cell r="J148">
            <v>2030</v>
          </cell>
          <cell r="L148">
            <v>0.94</v>
          </cell>
          <cell r="O148">
            <v>0.27090909090909093</v>
          </cell>
          <cell r="P148">
            <v>1.4154999999999999E-2</v>
          </cell>
          <cell r="Q148">
            <v>2.0694444444444446</v>
          </cell>
          <cell r="V148">
            <v>0.26000000000000006</v>
          </cell>
        </row>
        <row r="149">
          <cell r="A149" t="str">
            <v>INDGDMTGASN3</v>
          </cell>
          <cell r="J149">
            <v>2050</v>
          </cell>
          <cell r="L149">
            <v>0.95</v>
          </cell>
          <cell r="O149">
            <v>0.27090909090909093</v>
          </cell>
          <cell r="P149">
            <v>1.2664999999999999E-2</v>
          </cell>
          <cell r="Q149">
            <v>2.0694444444444446</v>
          </cell>
          <cell r="V149">
            <v>0.25000000000000006</v>
          </cell>
        </row>
        <row r="150">
          <cell r="A150" t="str">
            <v>INDGDRHGASN3</v>
          </cell>
          <cell r="D150" t="str">
            <v>INDGDRHGASN3</v>
          </cell>
          <cell r="E150" t="str">
            <v>Industrial heating technology Glass &amp; Concrete RH - Gas boiler (Hot Water) - new 3</v>
          </cell>
          <cell r="J150">
            <v>2020</v>
          </cell>
          <cell r="L150">
            <v>0.93</v>
          </cell>
          <cell r="N150">
            <v>25</v>
          </cell>
          <cell r="O150">
            <v>0.3250909090909091</v>
          </cell>
          <cell r="P150">
            <v>1.49E-2</v>
          </cell>
          <cell r="Q150">
            <v>2.276388888888889</v>
          </cell>
          <cell r="R150">
            <v>3.1536000000000002E-2</v>
          </cell>
          <cell r="S150">
            <v>0.5</v>
          </cell>
          <cell r="T150">
            <v>1</v>
          </cell>
          <cell r="V150">
            <v>6.9999999999999951E-2</v>
          </cell>
        </row>
        <row r="151">
          <cell r="A151" t="str">
            <v>INDGDRHGASN3</v>
          </cell>
          <cell r="J151">
            <v>2030</v>
          </cell>
          <cell r="L151">
            <v>0.94</v>
          </cell>
          <cell r="O151">
            <v>0.27090909090909093</v>
          </cell>
          <cell r="P151">
            <v>1.4154999999999999E-2</v>
          </cell>
          <cell r="Q151">
            <v>2.0694444444444446</v>
          </cell>
          <cell r="V151">
            <v>6.0000000000000053E-2</v>
          </cell>
        </row>
        <row r="152">
          <cell r="A152" t="str">
            <v>INDGDRHGASN3</v>
          </cell>
          <cell r="J152">
            <v>2050</v>
          </cell>
          <cell r="L152">
            <v>0.95</v>
          </cell>
          <cell r="O152">
            <v>0.27090909090909093</v>
          </cell>
          <cell r="P152">
            <v>1.2664999999999999E-2</v>
          </cell>
          <cell r="Q152">
            <v>2.0694444444444446</v>
          </cell>
          <cell r="V152">
            <v>5.0000000000000044E-2</v>
          </cell>
        </row>
        <row r="153">
          <cell r="A153" t="str">
            <v>INDGDMTGASN4</v>
          </cell>
          <cell r="D153" t="str">
            <v>INDGDMTGASN4</v>
          </cell>
          <cell r="E153" t="str">
            <v>Industrial heating technology Glass &amp; Concrete MT - Gas boiler (Hot Water - condensing) - new 4</v>
          </cell>
          <cell r="J153">
            <v>2020</v>
          </cell>
          <cell r="L153">
            <v>1.01</v>
          </cell>
          <cell r="N153">
            <v>25</v>
          </cell>
          <cell r="O153">
            <v>0.35760000000000003</v>
          </cell>
          <cell r="P153">
            <v>1.49E-2</v>
          </cell>
          <cell r="Q153">
            <v>2.276388888888889</v>
          </cell>
          <cell r="R153">
            <v>3.1536000000000002E-2</v>
          </cell>
          <cell r="S153">
            <v>0.5</v>
          </cell>
          <cell r="T153">
            <v>0</v>
          </cell>
          <cell r="V153">
            <v>0.19</v>
          </cell>
        </row>
        <row r="154">
          <cell r="A154" t="str">
            <v>INDGDMTGASN4</v>
          </cell>
          <cell r="J154">
            <v>2030</v>
          </cell>
          <cell r="L154">
            <v>1.03</v>
          </cell>
          <cell r="O154">
            <v>0.29800000000000004</v>
          </cell>
          <cell r="P154">
            <v>1.4154999999999999E-2</v>
          </cell>
          <cell r="Q154">
            <v>2.0694444444444446</v>
          </cell>
          <cell r="V154">
            <v>0.16999999999999998</v>
          </cell>
        </row>
        <row r="155">
          <cell r="A155" t="str">
            <v>INDGDMTGASN4</v>
          </cell>
          <cell r="J155">
            <v>2050</v>
          </cell>
          <cell r="L155">
            <v>1.03</v>
          </cell>
          <cell r="O155">
            <v>0.29800000000000004</v>
          </cell>
          <cell r="P155">
            <v>1.2664999999999999E-2</v>
          </cell>
          <cell r="Q155">
            <v>2.0694444444444446</v>
          </cell>
          <cell r="V155">
            <v>0.16999999999999998</v>
          </cell>
        </row>
        <row r="156">
          <cell r="A156" t="str">
            <v>INDGDRHGASN4</v>
          </cell>
          <cell r="D156" t="str">
            <v>INDGDRHGASN4</v>
          </cell>
          <cell r="E156" t="str">
            <v>Industrial heating technology Glass &amp; Concrete RH - Gas boiler (Hot Water- condensing) - new 4</v>
          </cell>
          <cell r="J156">
            <v>2020</v>
          </cell>
          <cell r="L156">
            <v>1.01</v>
          </cell>
          <cell r="N156">
            <v>25</v>
          </cell>
          <cell r="O156">
            <v>0.35760000000000003</v>
          </cell>
          <cell r="P156">
            <v>1.49E-2</v>
          </cell>
          <cell r="Q156">
            <v>2.276388888888889</v>
          </cell>
          <cell r="R156">
            <v>3.1536000000000002E-2</v>
          </cell>
          <cell r="S156">
            <v>0.5</v>
          </cell>
          <cell r="T156">
            <v>0</v>
          </cell>
          <cell r="V156">
            <v>-1.0000000000000009E-2</v>
          </cell>
        </row>
        <row r="157">
          <cell r="A157" t="str">
            <v>INDGDRHGASN4</v>
          </cell>
          <cell r="J157">
            <v>2030</v>
          </cell>
          <cell r="L157">
            <v>1.03</v>
          </cell>
          <cell r="O157">
            <v>0.29800000000000004</v>
          </cell>
          <cell r="P157">
            <v>1.4154999999999999E-2</v>
          </cell>
          <cell r="Q157">
            <v>2.0694444444444446</v>
          </cell>
          <cell r="V157">
            <v>-3.0000000000000027E-2</v>
          </cell>
        </row>
        <row r="158">
          <cell r="A158" t="str">
            <v>INDGDRHGASN4</v>
          </cell>
          <cell r="J158">
            <v>2050</v>
          </cell>
          <cell r="L158">
            <v>1.03</v>
          </cell>
          <cell r="O158">
            <v>0.29800000000000004</v>
          </cell>
          <cell r="P158">
            <v>1.2664999999999999E-2</v>
          </cell>
          <cell r="Q158">
            <v>2.0694444444444446</v>
          </cell>
          <cell r="V158">
            <v>-3.0000000000000027E-2</v>
          </cell>
        </row>
        <row r="159">
          <cell r="A159" t="str">
            <v>INDGDHTGASN5</v>
          </cell>
          <cell r="D159" t="str">
            <v>INDGDHTGASN5</v>
          </cell>
          <cell r="E159" t="str">
            <v>Industrial heating technology Glass &amp; Concrete HT - Gas boiler (Direct firing) - new 5</v>
          </cell>
          <cell r="J159">
            <v>2020</v>
          </cell>
          <cell r="L159">
            <v>1</v>
          </cell>
          <cell r="N159">
            <v>15</v>
          </cell>
          <cell r="O159">
            <v>0.11175</v>
          </cell>
          <cell r="P159">
            <v>1.3545454545454561E-3</v>
          </cell>
          <cell r="Q159">
            <v>0.58461805555555546</v>
          </cell>
          <cell r="R159">
            <v>3.1536000000000002E-2</v>
          </cell>
          <cell r="S159">
            <v>0.5</v>
          </cell>
          <cell r="T159">
            <v>1</v>
          </cell>
          <cell r="V159">
            <v>0.3</v>
          </cell>
        </row>
        <row r="160">
          <cell r="A160" t="str">
            <v>INDGDHTGASN5</v>
          </cell>
          <cell r="J160">
            <v>2030</v>
          </cell>
          <cell r="L160">
            <v>1</v>
          </cell>
          <cell r="O160">
            <v>0.11175</v>
          </cell>
          <cell r="P160">
            <v>1.3206818181818161E-3</v>
          </cell>
          <cell r="Q160">
            <v>0.5742708333333334</v>
          </cell>
          <cell r="V160">
            <v>0.3</v>
          </cell>
        </row>
        <row r="161">
          <cell r="A161" t="str">
            <v>INDGDHTGASN5</v>
          </cell>
          <cell r="J161">
            <v>2050</v>
          </cell>
          <cell r="L161">
            <v>1</v>
          </cell>
          <cell r="O161">
            <v>0.11175</v>
          </cell>
          <cell r="P161">
            <v>1.1513636363636396E-3</v>
          </cell>
          <cell r="Q161">
            <v>0.57944444444444443</v>
          </cell>
          <cell r="V161">
            <v>0.3</v>
          </cell>
        </row>
        <row r="162">
          <cell r="A162" t="str">
            <v>INDGDMTGASN5</v>
          </cell>
          <cell r="D162" t="str">
            <v>INDGDMTGASN5</v>
          </cell>
          <cell r="E162" t="str">
            <v>Industrial heating technology Glass &amp; Concrete MT - Gas boiler (Direct firing) - new 5</v>
          </cell>
          <cell r="J162">
            <v>2020</v>
          </cell>
          <cell r="L162">
            <v>1</v>
          </cell>
          <cell r="N162">
            <v>25</v>
          </cell>
          <cell r="O162">
            <v>0.11175</v>
          </cell>
          <cell r="P162">
            <v>1.3545454545454561E-3</v>
          </cell>
          <cell r="Q162">
            <v>0.58461805555555546</v>
          </cell>
          <cell r="R162">
            <v>3.1536000000000002E-2</v>
          </cell>
          <cell r="S162">
            <v>0.5</v>
          </cell>
          <cell r="T162">
            <v>1</v>
          </cell>
          <cell r="V162">
            <v>0.2</v>
          </cell>
        </row>
        <row r="163">
          <cell r="A163" t="str">
            <v>INDGDMTGASN5</v>
          </cell>
          <cell r="J163">
            <v>2030</v>
          </cell>
          <cell r="L163">
            <v>1</v>
          </cell>
          <cell r="O163">
            <v>0.11175</v>
          </cell>
          <cell r="P163">
            <v>1.3206818181818161E-3</v>
          </cell>
          <cell r="Q163">
            <v>0.5742708333333334</v>
          </cell>
          <cell r="V163">
            <v>0.2</v>
          </cell>
        </row>
        <row r="164">
          <cell r="A164" t="str">
            <v>INDGDMTGASN5</v>
          </cell>
          <cell r="J164">
            <v>2050</v>
          </cell>
          <cell r="L164">
            <v>1</v>
          </cell>
          <cell r="O164">
            <v>0.11175</v>
          </cell>
          <cell r="P164">
            <v>1.1513636363636396E-3</v>
          </cell>
          <cell r="Q164">
            <v>0.57944444444444443</v>
          </cell>
          <cell r="V164">
            <v>0.2</v>
          </cell>
        </row>
        <row r="165">
          <cell r="A165" t="str">
            <v>INDGDHTCOAN1</v>
          </cell>
          <cell r="D165" t="str">
            <v>INDGDHTCOAN1</v>
          </cell>
          <cell r="E165" t="str">
            <v>Industrial heating technology Glass &amp; Concrete HT - Coal boiler (Steam) - new 1</v>
          </cell>
          <cell r="G165" t="str">
            <v>INDCOA</v>
          </cell>
          <cell r="J165">
            <v>2020</v>
          </cell>
          <cell r="L165">
            <v>0.89</v>
          </cell>
          <cell r="N165">
            <v>25</v>
          </cell>
          <cell r="O165">
            <v>3.7250000000000001</v>
          </cell>
          <cell r="P165">
            <v>0.25106499999999998</v>
          </cell>
          <cell r="Q165">
            <v>3.9381527777777778</v>
          </cell>
          <cell r="R165">
            <v>3.1536000000000002E-2</v>
          </cell>
          <cell r="S165">
            <v>0.5</v>
          </cell>
          <cell r="T165">
            <v>1</v>
          </cell>
          <cell r="V165">
            <v>0.41</v>
          </cell>
        </row>
        <row r="166">
          <cell r="A166" t="str">
            <v>INDGDHTCOAN1</v>
          </cell>
          <cell r="J166">
            <v>2030</v>
          </cell>
          <cell r="L166">
            <v>0.89</v>
          </cell>
          <cell r="O166">
            <v>3.4699403462447704</v>
          </cell>
          <cell r="P166">
            <v>0.24287</v>
          </cell>
          <cell r="Q166">
            <v>3.9836805555555559</v>
          </cell>
          <cell r="V166">
            <v>0.41</v>
          </cell>
        </row>
        <row r="167">
          <cell r="A167" t="str">
            <v>INDGDHTCOAN1</v>
          </cell>
          <cell r="J167">
            <v>2050</v>
          </cell>
          <cell r="L167">
            <v>0.91</v>
          </cell>
          <cell r="O167">
            <v>3.2813985758696647</v>
          </cell>
          <cell r="P167">
            <v>0.22797000000000001</v>
          </cell>
          <cell r="Q167">
            <v>4.0064444444444449</v>
          </cell>
          <cell r="V167">
            <v>0.38999999999999996</v>
          </cell>
        </row>
        <row r="168">
          <cell r="A168" t="str">
            <v>INDGDMTCOAN1</v>
          </cell>
          <cell r="D168" t="str">
            <v>INDGDMTCOAN1</v>
          </cell>
          <cell r="E168" t="str">
            <v>Industrial heating technology Glass &amp; Concrete MT - Coal boiler (Steam) - new 1</v>
          </cell>
          <cell r="J168">
            <v>2020</v>
          </cell>
          <cell r="L168">
            <v>0.89</v>
          </cell>
          <cell r="N168">
            <v>25</v>
          </cell>
          <cell r="O168">
            <v>3.7250000000000001</v>
          </cell>
          <cell r="P168">
            <v>0.25106499999999998</v>
          </cell>
          <cell r="Q168">
            <v>3.9381527777777778</v>
          </cell>
          <cell r="R168">
            <v>3.1536000000000002E-2</v>
          </cell>
          <cell r="S168">
            <v>0.5</v>
          </cell>
          <cell r="T168">
            <v>0.97</v>
          </cell>
          <cell r="V168">
            <v>0.31</v>
          </cell>
        </row>
        <row r="169">
          <cell r="A169" t="str">
            <v>INDGDMTCOAN1</v>
          </cell>
          <cell r="J169">
            <v>2030</v>
          </cell>
          <cell r="L169">
            <v>0.89</v>
          </cell>
          <cell r="O169">
            <v>3.4699403462447704</v>
          </cell>
          <cell r="P169">
            <v>0.24287</v>
          </cell>
          <cell r="Q169">
            <v>3.9836805555555559</v>
          </cell>
          <cell r="V169">
            <v>0.31</v>
          </cell>
        </row>
        <row r="170">
          <cell r="A170" t="str">
            <v>INDGDMTCOAN1</v>
          </cell>
          <cell r="J170">
            <v>2050</v>
          </cell>
          <cell r="L170">
            <v>0.91</v>
          </cell>
          <cell r="O170">
            <v>3.2813985758696647</v>
          </cell>
          <cell r="P170">
            <v>0.22797000000000001</v>
          </cell>
          <cell r="Q170">
            <v>4.0064444444444449</v>
          </cell>
          <cell r="V170">
            <v>0.28999999999999998</v>
          </cell>
        </row>
        <row r="171">
          <cell r="A171" t="str">
            <v>INDGDRHCOAN1</v>
          </cell>
          <cell r="D171" t="str">
            <v>INDGDRHCOAN1</v>
          </cell>
          <cell r="E171" t="str">
            <v>Industrial heating technology Glass &amp; Concrete RH - Coal boiler (Steam) - new 1</v>
          </cell>
          <cell r="J171">
            <v>2020</v>
          </cell>
          <cell r="L171">
            <v>0.89</v>
          </cell>
          <cell r="N171">
            <v>25</v>
          </cell>
          <cell r="O171">
            <v>3.7250000000000001</v>
          </cell>
          <cell r="P171">
            <v>0.25106499999999998</v>
          </cell>
          <cell r="Q171">
            <v>3.9381527777777778</v>
          </cell>
          <cell r="R171">
            <v>3.1536000000000002E-2</v>
          </cell>
          <cell r="S171">
            <v>0.5</v>
          </cell>
          <cell r="T171">
            <v>1</v>
          </cell>
          <cell r="V171">
            <v>0.10999999999999999</v>
          </cell>
        </row>
        <row r="172">
          <cell r="A172" t="str">
            <v>INDGDRHCOAN1</v>
          </cell>
          <cell r="J172">
            <v>2030</v>
          </cell>
          <cell r="L172">
            <v>0.89</v>
          </cell>
          <cell r="O172">
            <v>3.4699403462447704</v>
          </cell>
          <cell r="P172">
            <v>0.24287</v>
          </cell>
          <cell r="Q172">
            <v>3.9836805555555559</v>
          </cell>
          <cell r="V172">
            <v>0.10999999999999999</v>
          </cell>
        </row>
        <row r="173">
          <cell r="A173" t="str">
            <v>INDGDRHCOAN1</v>
          </cell>
          <cell r="J173">
            <v>2050</v>
          </cell>
          <cell r="L173">
            <v>0.91</v>
          </cell>
          <cell r="O173">
            <v>3.2813985758696647</v>
          </cell>
          <cell r="P173">
            <v>0.22797000000000001</v>
          </cell>
          <cell r="Q173">
            <v>4.0064444444444449</v>
          </cell>
          <cell r="V173">
            <v>8.9999999999999969E-2</v>
          </cell>
        </row>
        <row r="174">
          <cell r="A174" t="str">
            <v>INDGDMTCOAN2</v>
          </cell>
          <cell r="D174" t="str">
            <v>INDGDMTCOAN2</v>
          </cell>
          <cell r="E174" t="str">
            <v>Industrial heating technology Glass &amp; Concrete MT - Coal boiler (Hot Water) - new 2</v>
          </cell>
          <cell r="J174">
            <v>2020</v>
          </cell>
          <cell r="L174">
            <v>0.89</v>
          </cell>
          <cell r="N174">
            <v>25</v>
          </cell>
          <cell r="O174">
            <v>3.7250000000000001</v>
          </cell>
          <cell r="P174">
            <v>0.25106499999999998</v>
          </cell>
          <cell r="Q174">
            <v>3.9381527777777778</v>
          </cell>
          <cell r="R174">
            <v>3.1536000000000002E-2</v>
          </cell>
          <cell r="S174">
            <v>0.5</v>
          </cell>
          <cell r="T174">
            <v>0.5</v>
          </cell>
          <cell r="V174">
            <v>0.31</v>
          </cell>
        </row>
        <row r="175">
          <cell r="A175" t="str">
            <v>INDGDMTCOAN2</v>
          </cell>
          <cell r="J175">
            <v>2030</v>
          </cell>
          <cell r="L175">
            <v>0.89</v>
          </cell>
          <cell r="O175">
            <v>3.7250000000000001</v>
          </cell>
          <cell r="P175">
            <v>0.24287</v>
          </cell>
          <cell r="Q175">
            <v>3.9836805555555559</v>
          </cell>
          <cell r="V175">
            <v>0.31</v>
          </cell>
        </row>
        <row r="176">
          <cell r="A176" t="str">
            <v>INDGDMTCOAN2</v>
          </cell>
          <cell r="J176">
            <v>2050</v>
          </cell>
          <cell r="L176">
            <v>0.91</v>
          </cell>
          <cell r="O176">
            <v>3.7250000000000001</v>
          </cell>
          <cell r="P176">
            <v>0.22797000000000001</v>
          </cell>
          <cell r="Q176">
            <v>4.0064444444444449</v>
          </cell>
          <cell r="V176">
            <v>0.28999999999999998</v>
          </cell>
        </row>
        <row r="177">
          <cell r="A177" t="str">
            <v>INDGDRHCOAN2</v>
          </cell>
          <cell r="D177" t="str">
            <v>INDGDRHCOAN2</v>
          </cell>
          <cell r="E177" t="str">
            <v>Industrial heating technology Glass &amp; Concrete RH - Coal boiler (Hot Water) - new 2</v>
          </cell>
          <cell r="J177">
            <v>2020</v>
          </cell>
          <cell r="L177">
            <v>0.89</v>
          </cell>
          <cell r="N177">
            <v>25</v>
          </cell>
          <cell r="O177">
            <v>3.7250000000000001</v>
          </cell>
          <cell r="P177">
            <v>0.25106499999999998</v>
          </cell>
          <cell r="Q177">
            <v>3.9381527777777778</v>
          </cell>
          <cell r="R177">
            <v>3.1536000000000002E-2</v>
          </cell>
          <cell r="S177">
            <v>0.5</v>
          </cell>
          <cell r="T177">
            <v>1</v>
          </cell>
          <cell r="V177">
            <v>0.10999999999999999</v>
          </cell>
        </row>
        <row r="178">
          <cell r="A178" t="str">
            <v>INDGDRHCOAN2</v>
          </cell>
          <cell r="J178">
            <v>2030</v>
          </cell>
          <cell r="L178">
            <v>0.89</v>
          </cell>
          <cell r="O178">
            <v>3.7250000000000001</v>
          </cell>
          <cell r="P178">
            <v>0.24287</v>
          </cell>
          <cell r="Q178">
            <v>3.9836805555555559</v>
          </cell>
          <cell r="V178">
            <v>0.10999999999999999</v>
          </cell>
        </row>
        <row r="179">
          <cell r="A179" t="str">
            <v>INDGDRHCOAN2</v>
          </cell>
          <cell r="J179">
            <v>2050</v>
          </cell>
          <cell r="L179">
            <v>0.91</v>
          </cell>
          <cell r="O179">
            <v>3.7250000000000001</v>
          </cell>
          <cell r="P179">
            <v>0.22797000000000001</v>
          </cell>
          <cell r="Q179">
            <v>4.0064444444444449</v>
          </cell>
          <cell r="V179">
            <v>8.9999999999999969E-2</v>
          </cell>
        </row>
        <row r="180">
          <cell r="A180" t="str">
            <v>INDGDRHSOLN1</v>
          </cell>
          <cell r="J180">
            <v>2020</v>
          </cell>
          <cell r="L180">
            <v>1</v>
          </cell>
          <cell r="N180">
            <v>25</v>
          </cell>
          <cell r="O180">
            <v>4.2857142857142865</v>
          </cell>
          <cell r="P180">
            <v>2.0660433158225668E-2</v>
          </cell>
          <cell r="Q180">
            <v>0</v>
          </cell>
          <cell r="R180">
            <v>3.1536000000000002E-2</v>
          </cell>
          <cell r="S180">
            <v>0.5</v>
          </cell>
          <cell r="T180">
            <v>1</v>
          </cell>
        </row>
        <row r="181">
          <cell r="A181" t="str">
            <v>INDGDRHSOLN1</v>
          </cell>
          <cell r="J181">
            <v>2030</v>
          </cell>
          <cell r="L181">
            <v>1</v>
          </cell>
          <cell r="N181">
            <v>30</v>
          </cell>
          <cell r="O181">
            <v>3.9285714285714284</v>
          </cell>
          <cell r="P181">
            <v>2.328125E-2</v>
          </cell>
          <cell r="Q181">
            <v>0</v>
          </cell>
        </row>
        <row r="182">
          <cell r="A182" t="str">
            <v>INDGDRHSOLN1</v>
          </cell>
          <cell r="J182">
            <v>2050</v>
          </cell>
          <cell r="L182">
            <v>1</v>
          </cell>
          <cell r="N182">
            <v>30</v>
          </cell>
          <cell r="O182">
            <v>3.5714285714285721</v>
          </cell>
          <cell r="P182">
            <v>2.1498571428571429E-2</v>
          </cell>
          <cell r="Q182">
            <v>0</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theme/theme1.xml><?xml version="1.0" encoding="utf-8"?>
<a:theme xmlns:a="http://schemas.openxmlformats.org/drawingml/2006/main" name="Kontor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2.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3:F30"/>
  <sheetViews>
    <sheetView workbookViewId="0">
      <selection activeCell="E14" sqref="E14"/>
    </sheetView>
  </sheetViews>
  <sheetFormatPr defaultColWidth="7.44140625" defaultRowHeight="14.4"/>
  <cols>
    <col min="1" max="1" width="11.44140625" bestFit="1" customWidth="1"/>
    <col min="2" max="2" width="16.6640625" bestFit="1" customWidth="1"/>
    <col min="3" max="4" width="18.44140625" bestFit="1" customWidth="1"/>
    <col min="5" max="5" width="172.88671875" customWidth="1"/>
    <col min="6" max="6" width="23.33203125" bestFit="1" customWidth="1"/>
  </cols>
  <sheetData>
    <row r="3" spans="1:6">
      <c r="A3" s="12" t="s">
        <v>70</v>
      </c>
      <c r="B3" s="12" t="s">
        <v>113</v>
      </c>
      <c r="C3" s="12" t="s">
        <v>114</v>
      </c>
      <c r="D3" s="12" t="s">
        <v>115</v>
      </c>
      <c r="E3" s="12" t="s">
        <v>116</v>
      </c>
      <c r="F3" s="12"/>
    </row>
    <row r="4" spans="1:6" s="134" customFormat="1">
      <c r="A4" s="233">
        <v>43746</v>
      </c>
      <c r="B4" s="114" t="s">
        <v>670</v>
      </c>
      <c r="C4" s="114" t="s">
        <v>384</v>
      </c>
      <c r="D4" s="114"/>
      <c r="E4" s="114" t="s">
        <v>685</v>
      </c>
      <c r="F4" s="12"/>
    </row>
    <row r="5" spans="1:6" s="134" customFormat="1">
      <c r="A5" s="233">
        <v>43746</v>
      </c>
      <c r="B5" s="114" t="s">
        <v>670</v>
      </c>
      <c r="C5" s="114"/>
      <c r="D5" s="114"/>
      <c r="E5" s="114" t="s">
        <v>684</v>
      </c>
      <c r="F5" s="12"/>
    </row>
    <row r="6" spans="1:6" s="134" customFormat="1">
      <c r="A6" s="233">
        <v>43738</v>
      </c>
      <c r="B6" s="114" t="s">
        <v>670</v>
      </c>
      <c r="C6" s="114" t="s">
        <v>660</v>
      </c>
      <c r="D6" s="114"/>
      <c r="E6" s="114" t="s">
        <v>680</v>
      </c>
      <c r="F6" s="12"/>
    </row>
    <row r="7" spans="1:6" s="134" customFormat="1">
      <c r="A7" s="233">
        <v>43738</v>
      </c>
      <c r="B7" s="114" t="s">
        <v>670</v>
      </c>
      <c r="C7" s="114" t="s">
        <v>671</v>
      </c>
      <c r="D7" s="114" t="s">
        <v>672</v>
      </c>
      <c r="E7" s="114" t="s">
        <v>673</v>
      </c>
      <c r="F7" s="12"/>
    </row>
    <row r="8" spans="1:6" s="134" customFormat="1">
      <c r="A8" s="233">
        <v>43738</v>
      </c>
      <c r="B8" s="114" t="s">
        <v>670</v>
      </c>
      <c r="C8" s="114" t="s">
        <v>667</v>
      </c>
      <c r="D8" s="114" t="s">
        <v>668</v>
      </c>
      <c r="E8" s="114" t="s">
        <v>669</v>
      </c>
      <c r="F8" s="12"/>
    </row>
    <row r="9" spans="1:6" s="40" customFormat="1">
      <c r="A9" s="62">
        <v>43535</v>
      </c>
      <c r="B9" s="40" t="s">
        <v>383</v>
      </c>
      <c r="C9" s="40" t="s">
        <v>407</v>
      </c>
      <c r="D9" s="40" t="e">
        <f>ADDRESS(ROW(ELC_CCS_Comm!#REF!),COLUMN(ELC_CCS_Comm!#REF!),4,1)</f>
        <v>#REF!</v>
      </c>
      <c r="E9" s="40" t="s">
        <v>408</v>
      </c>
    </row>
    <row r="10" spans="1:6" s="40" customFormat="1">
      <c r="A10" s="62">
        <v>43306</v>
      </c>
      <c r="B10" s="40" t="s">
        <v>383</v>
      </c>
      <c r="C10" s="40" t="s">
        <v>384</v>
      </c>
      <c r="D10" s="40" t="e">
        <f>ADDRESS(ROW(#REF!),COLUMN(#REF!),4,1)</f>
        <v>#REF!</v>
      </c>
      <c r="E10" s="40" t="s">
        <v>385</v>
      </c>
    </row>
    <row r="11" spans="1:6" s="40" customFormat="1">
      <c r="A11" s="62">
        <v>43173</v>
      </c>
      <c r="B11" s="40" t="s">
        <v>137</v>
      </c>
      <c r="C11" s="40" t="s">
        <v>138</v>
      </c>
      <c r="D11" s="40" t="s">
        <v>139</v>
      </c>
      <c r="E11" s="40" t="s">
        <v>140</v>
      </c>
    </row>
    <row r="12" spans="1:6" s="40" customFormat="1"/>
    <row r="13" spans="1:6" s="40" customFormat="1"/>
    <row r="14" spans="1:6" s="40" customFormat="1"/>
    <row r="15" spans="1:6" s="40" customFormat="1"/>
    <row r="16" spans="1:6">
      <c r="A16" s="40"/>
      <c r="B16" s="40"/>
      <c r="C16" s="40"/>
      <c r="D16" s="40"/>
      <c r="E16" s="40"/>
    </row>
    <row r="21" spans="4:4" ht="15.6">
      <c r="D21" s="29"/>
    </row>
    <row r="22" spans="4:4" ht="15.6">
      <c r="D22" s="29"/>
    </row>
    <row r="23" spans="4:4" ht="15.6">
      <c r="D23" s="29"/>
    </row>
    <row r="24" spans="4:4" ht="15.6">
      <c r="D24" s="29"/>
    </row>
    <row r="25" spans="4:4" ht="15.6">
      <c r="D25" s="29"/>
    </row>
    <row r="26" spans="4:4" ht="15.6">
      <c r="D26" s="29"/>
    </row>
    <row r="27" spans="4:4" ht="15.6">
      <c r="D27" s="29"/>
    </row>
    <row r="28" spans="4:4" ht="15.6">
      <c r="D28" s="29"/>
    </row>
    <row r="29" spans="4:4" ht="15.6">
      <c r="D29" s="29"/>
    </row>
    <row r="30" spans="4:4" ht="15.6">
      <c r="D30" s="29"/>
    </row>
  </sheetData>
  <pageMargins left="0.7" right="0.7" top="0.75" bottom="0.75" header="0.3" footer="0.3"/>
  <pageSetup paperSize="9" orientation="portrait" horizontalDpi="4294967293" vertic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theme="9"/>
  </sheetPr>
  <dimension ref="B1:C13"/>
  <sheetViews>
    <sheetView workbookViewId="0">
      <selection activeCell="C16" sqref="C16"/>
    </sheetView>
  </sheetViews>
  <sheetFormatPr defaultColWidth="9.109375" defaultRowHeight="13.8"/>
  <cols>
    <col min="1" max="1" width="9.109375" style="43"/>
    <col min="2" max="2" width="24" style="43" bestFit="1" customWidth="1"/>
    <col min="3" max="3" width="138.44140625" style="43" customWidth="1"/>
    <col min="4" max="16384" width="9.109375" style="43"/>
  </cols>
  <sheetData>
    <row r="1" spans="2:3" ht="18">
      <c r="B1" s="42" t="s">
        <v>118</v>
      </c>
    </row>
    <row r="3" spans="2:3" ht="14.4">
      <c r="B3" s="44" t="s">
        <v>119</v>
      </c>
      <c r="C3" s="43" t="s">
        <v>123</v>
      </c>
    </row>
    <row r="4" spans="2:3" ht="14.4">
      <c r="B4" s="44" t="s">
        <v>120</v>
      </c>
      <c r="C4" s="43" t="s">
        <v>124</v>
      </c>
    </row>
    <row r="5" spans="2:3" ht="14.4">
      <c r="B5" s="44"/>
    </row>
    <row r="6" spans="2:3" ht="14.4">
      <c r="B6" s="44" t="s">
        <v>121</v>
      </c>
      <c r="C6" s="43" t="s">
        <v>92</v>
      </c>
    </row>
    <row r="7" spans="2:3" ht="14.4">
      <c r="B7" s="44"/>
    </row>
    <row r="8" spans="2:3" ht="14.4">
      <c r="B8" s="45" t="s">
        <v>122</v>
      </c>
    </row>
    <row r="9" spans="2:3" ht="14.4">
      <c r="B9" s="44"/>
    </row>
    <row r="10" spans="2:3" ht="14.4">
      <c r="B10" s="46" t="s">
        <v>132</v>
      </c>
      <c r="C10" s="47" t="s">
        <v>125</v>
      </c>
    </row>
    <row r="11" spans="2:3" ht="14.4">
      <c r="B11" s="46" t="s">
        <v>133</v>
      </c>
      <c r="C11" s="47" t="s">
        <v>126</v>
      </c>
    </row>
    <row r="12" spans="2:3" ht="14.4">
      <c r="B12" s="46" t="s">
        <v>134</v>
      </c>
      <c r="C12" s="47" t="s">
        <v>141</v>
      </c>
    </row>
    <row r="13" spans="2:3">
      <c r="B13" s="48" t="s">
        <v>127</v>
      </c>
      <c r="C13" s="43" t="s">
        <v>128</v>
      </c>
    </row>
  </sheetData>
  <conditionalFormatting sqref="C3">
    <cfRule type="cellIs" dxfId="1" priority="1" operator="equal">
      <formula>"No"</formula>
    </cfRule>
    <cfRule type="cellIs" dxfId="0" priority="2" operator="equal">
      <formula>"Yes"</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Ark2">
    <tabColor rgb="FF92D050"/>
  </sheetPr>
  <dimension ref="B2:I25"/>
  <sheetViews>
    <sheetView workbookViewId="0">
      <selection activeCell="D22" sqref="D22"/>
    </sheetView>
  </sheetViews>
  <sheetFormatPr defaultColWidth="7.44140625" defaultRowHeight="14.4"/>
  <cols>
    <col min="2" max="2" width="17.88671875" customWidth="1"/>
    <col min="3" max="3" width="22.44140625" bestFit="1" customWidth="1"/>
    <col min="4" max="4" width="58" bestFit="1" customWidth="1"/>
    <col min="5" max="9" width="17.88671875" customWidth="1"/>
  </cols>
  <sheetData>
    <row r="2" spans="2:9">
      <c r="B2" s="30" t="s">
        <v>42</v>
      </c>
      <c r="C2" s="37"/>
      <c r="D2" s="37"/>
      <c r="E2" s="37"/>
      <c r="F2" s="37"/>
      <c r="G2" s="37"/>
      <c r="H2" s="37"/>
      <c r="I2" s="37"/>
    </row>
    <row r="3" spans="2:9">
      <c r="B3" s="38" t="s">
        <v>43</v>
      </c>
      <c r="C3" s="38" t="s">
        <v>44</v>
      </c>
      <c r="D3" s="38" t="s">
        <v>45</v>
      </c>
      <c r="E3" s="39" t="s">
        <v>46</v>
      </c>
      <c r="F3" s="39" t="s">
        <v>47</v>
      </c>
      <c r="G3" s="39" t="s">
        <v>48</v>
      </c>
      <c r="H3" s="39" t="s">
        <v>49</v>
      </c>
      <c r="I3" s="39" t="s">
        <v>50</v>
      </c>
    </row>
    <row r="4" spans="2:9" s="125" customFormat="1" ht="15" thickBot="1">
      <c r="B4" s="246" t="s">
        <v>51</v>
      </c>
      <c r="C4" s="245" t="s">
        <v>52</v>
      </c>
      <c r="D4" s="245" t="s">
        <v>53</v>
      </c>
      <c r="E4" s="245" t="s">
        <v>46</v>
      </c>
      <c r="F4" s="245" t="s">
        <v>54</v>
      </c>
      <c r="G4" s="245" t="s">
        <v>55</v>
      </c>
      <c r="H4" s="245" t="s">
        <v>56</v>
      </c>
      <c r="I4" s="245" t="s">
        <v>57</v>
      </c>
    </row>
    <row r="5" spans="2:9">
      <c r="B5" s="49" t="s">
        <v>135</v>
      </c>
      <c r="C5" s="114" t="s">
        <v>429</v>
      </c>
      <c r="D5" s="61" t="str">
        <f>"Carbon storage unit "&amp;RIGHT(C5,3)</f>
        <v>Carbon storage unit DTS</v>
      </c>
      <c r="E5" s="178" t="s">
        <v>157</v>
      </c>
      <c r="F5" s="134" t="s">
        <v>440</v>
      </c>
      <c r="G5" s="34"/>
      <c r="H5" s="34"/>
      <c r="I5" s="34"/>
    </row>
    <row r="6" spans="2:9">
      <c r="C6" s="114" t="s">
        <v>430</v>
      </c>
      <c r="D6" s="61" t="str">
        <f t="shared" ref="D6:D15" si="0">"Carbon storage unit "&amp;RIGHT(C6,3)</f>
        <v>Carbon storage unit DGS</v>
      </c>
      <c r="E6" s="178" t="s">
        <v>157</v>
      </c>
      <c r="F6" s="134" t="s">
        <v>440</v>
      </c>
    </row>
    <row r="7" spans="2:9">
      <c r="C7" s="114" t="s">
        <v>431</v>
      </c>
      <c r="D7" s="61" t="str">
        <f t="shared" si="0"/>
        <v>Carbon storage unit DGA</v>
      </c>
      <c r="E7" s="178" t="s">
        <v>157</v>
      </c>
      <c r="F7" s="134" t="s">
        <v>440</v>
      </c>
    </row>
    <row r="8" spans="2:9">
      <c r="C8" s="114" t="s">
        <v>432</v>
      </c>
      <c r="D8" s="61" t="str">
        <f t="shared" si="0"/>
        <v>Carbon storage unit NSF</v>
      </c>
      <c r="E8" s="178" t="s">
        <v>157</v>
      </c>
      <c r="F8" s="134" t="s">
        <v>440</v>
      </c>
    </row>
    <row r="9" spans="2:9">
      <c r="C9" s="114" t="s">
        <v>433</v>
      </c>
      <c r="D9" s="61" t="str">
        <f t="shared" si="0"/>
        <v>Carbon storage unit DZS</v>
      </c>
      <c r="E9" s="178" t="s">
        <v>157</v>
      </c>
      <c r="F9" s="134" t="s">
        <v>440</v>
      </c>
    </row>
    <row r="10" spans="2:9">
      <c r="C10" s="114" t="s">
        <v>434</v>
      </c>
      <c r="D10" s="61" t="str">
        <f t="shared" si="0"/>
        <v>Carbon storage unit SAA</v>
      </c>
      <c r="E10" s="178" t="s">
        <v>157</v>
      </c>
      <c r="F10" s="134" t="s">
        <v>440</v>
      </c>
    </row>
    <row r="11" spans="2:9">
      <c r="C11" s="114" t="s">
        <v>435</v>
      </c>
      <c r="D11" s="61" t="str">
        <f t="shared" si="0"/>
        <v>Carbon storage unit SFA</v>
      </c>
      <c r="E11" s="178" t="s">
        <v>157</v>
      </c>
      <c r="F11" s="134" t="s">
        <v>440</v>
      </c>
    </row>
    <row r="12" spans="2:9">
      <c r="C12" s="114" t="s">
        <v>436</v>
      </c>
      <c r="D12" s="61" t="str">
        <f t="shared" si="0"/>
        <v>Carbon storage unit DHS</v>
      </c>
      <c r="E12" s="178" t="s">
        <v>157</v>
      </c>
      <c r="F12" s="134" t="s">
        <v>440</v>
      </c>
    </row>
    <row r="13" spans="2:9">
      <c r="C13" s="114" t="s">
        <v>437</v>
      </c>
      <c r="D13" s="61" t="str">
        <f t="shared" si="0"/>
        <v>Carbon storage unit NSA</v>
      </c>
      <c r="E13" s="178" t="s">
        <v>157</v>
      </c>
      <c r="F13" s="134" t="s">
        <v>440</v>
      </c>
    </row>
    <row r="14" spans="2:9">
      <c r="C14" s="114" t="s">
        <v>438</v>
      </c>
      <c r="D14" s="61" t="str">
        <f t="shared" si="0"/>
        <v>Carbon storage unit NMF</v>
      </c>
      <c r="E14" s="178" t="s">
        <v>157</v>
      </c>
      <c r="F14" s="134" t="s">
        <v>440</v>
      </c>
    </row>
    <row r="15" spans="2:9">
      <c r="C15" s="114" t="s">
        <v>439</v>
      </c>
      <c r="D15" s="61" t="str">
        <f t="shared" si="0"/>
        <v>Carbon storage unit NGA</v>
      </c>
      <c r="E15" s="178" t="s">
        <v>157</v>
      </c>
      <c r="F15" s="134" t="s">
        <v>440</v>
      </c>
    </row>
    <row r="16" spans="2:9" s="134" customFormat="1">
      <c r="C16" s="114" t="s">
        <v>690</v>
      </c>
      <c r="D16" s="61" t="str">
        <f t="shared" ref="D16" si="1">"Carbon storage unit "&amp;RIGHT(C16,3)</f>
        <v>Carbon storage unit DHF</v>
      </c>
      <c r="E16" s="178" t="s">
        <v>157</v>
      </c>
      <c r="F16" s="134" t="s">
        <v>440</v>
      </c>
    </row>
    <row r="17" spans="2:6" s="134" customFormat="1">
      <c r="C17" s="114" t="s">
        <v>895</v>
      </c>
      <c r="D17" s="61" t="str">
        <f t="shared" ref="D17" si="2">"Carbon storage unit "&amp;RIGHT(C17,3)</f>
        <v>Carbon storage unit ISL</v>
      </c>
      <c r="E17" s="178" t="s">
        <v>157</v>
      </c>
      <c r="F17" s="134" t="s">
        <v>440</v>
      </c>
    </row>
    <row r="18" spans="2:6">
      <c r="C18" s="114" t="s">
        <v>645</v>
      </c>
      <c r="D18" s="61" t="s">
        <v>646</v>
      </c>
      <c r="E18" s="178" t="s">
        <v>157</v>
      </c>
      <c r="F18" s="134"/>
    </row>
    <row r="19" spans="2:6">
      <c r="B19" s="134"/>
      <c r="C19" s="134" t="s">
        <v>876</v>
      </c>
      <c r="D19" s="134" t="s">
        <v>877</v>
      </c>
      <c r="E19" s="343" t="s">
        <v>157</v>
      </c>
      <c r="F19" s="344" t="s">
        <v>440</v>
      </c>
    </row>
    <row r="20" spans="2:6">
      <c r="B20" s="134" t="s">
        <v>878</v>
      </c>
      <c r="C20" s="134" t="s">
        <v>879</v>
      </c>
      <c r="D20" s="134" t="s">
        <v>880</v>
      </c>
      <c r="E20" s="343" t="s">
        <v>157</v>
      </c>
      <c r="F20" s="344" t="s">
        <v>440</v>
      </c>
    </row>
    <row r="21" spans="2:6">
      <c r="B21" s="134"/>
      <c r="C21" s="134" t="s">
        <v>881</v>
      </c>
      <c r="D21" s="134" t="s">
        <v>882</v>
      </c>
      <c r="E21" s="343" t="s">
        <v>157</v>
      </c>
      <c r="F21" s="344" t="s">
        <v>440</v>
      </c>
    </row>
    <row r="22" spans="2:6">
      <c r="B22" s="134"/>
      <c r="C22" s="134" t="s">
        <v>883</v>
      </c>
      <c r="D22" s="134" t="s">
        <v>884</v>
      </c>
      <c r="E22" s="343" t="s">
        <v>157</v>
      </c>
      <c r="F22" s="344" t="s">
        <v>440</v>
      </c>
    </row>
    <row r="23" spans="2:6">
      <c r="B23" s="134"/>
      <c r="C23" s="134" t="s">
        <v>777</v>
      </c>
      <c r="D23" s="134" t="s">
        <v>885</v>
      </c>
      <c r="E23" s="343" t="s">
        <v>157</v>
      </c>
      <c r="F23" s="344" t="s">
        <v>440</v>
      </c>
    </row>
    <row r="24" spans="2:6">
      <c r="B24" s="134"/>
      <c r="C24" s="134" t="s">
        <v>697</v>
      </c>
      <c r="D24" s="134" t="s">
        <v>886</v>
      </c>
      <c r="E24" s="343" t="s">
        <v>157</v>
      </c>
      <c r="F24" s="344" t="s">
        <v>440</v>
      </c>
    </row>
    <row r="25" spans="2:6">
      <c r="C25" t="s">
        <v>893</v>
      </c>
      <c r="D25" s="134" t="s">
        <v>894</v>
      </c>
      <c r="E25" s="343" t="s">
        <v>157</v>
      </c>
      <c r="F25" s="344" t="s">
        <v>440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Ark3">
    <tabColor rgb="FF92D050"/>
  </sheetPr>
  <dimension ref="A3:AC146"/>
  <sheetViews>
    <sheetView topLeftCell="A93" zoomScale="85" zoomScaleNormal="85" workbookViewId="0">
      <selection activeCell="B138" sqref="B138"/>
    </sheetView>
  </sheetViews>
  <sheetFormatPr defaultColWidth="7.44140625" defaultRowHeight="14.4"/>
  <cols>
    <col min="2" max="3" width="25.5546875" bestFit="1" customWidth="1"/>
    <col min="4" max="4" width="102.33203125" bestFit="1" customWidth="1"/>
    <col min="5" max="5" width="7.6640625" bestFit="1" customWidth="1"/>
    <col min="6" max="6" width="8.44140625" bestFit="1" customWidth="1"/>
    <col min="7" max="7" width="33.33203125" customWidth="1"/>
    <col min="8" max="8" width="17.6640625" customWidth="1"/>
    <col min="9" max="9" width="8.33203125" bestFit="1" customWidth="1"/>
  </cols>
  <sheetData>
    <row r="3" spans="1:29">
      <c r="B3" s="30" t="s">
        <v>26</v>
      </c>
      <c r="C3" s="31"/>
      <c r="D3" s="31"/>
      <c r="E3" s="31"/>
      <c r="F3" s="31"/>
      <c r="G3" s="31"/>
      <c r="H3" s="31"/>
      <c r="I3" s="31"/>
    </row>
    <row r="4" spans="1:29">
      <c r="B4" s="32" t="s">
        <v>27</v>
      </c>
      <c r="C4" s="32" t="s">
        <v>1</v>
      </c>
      <c r="D4" s="32" t="s">
        <v>28</v>
      </c>
      <c r="E4" s="32" t="s">
        <v>29</v>
      </c>
      <c r="F4" s="32" t="s">
        <v>30</v>
      </c>
      <c r="G4" s="32" t="s">
        <v>31</v>
      </c>
      <c r="H4" s="32" t="s">
        <v>32</v>
      </c>
      <c r="I4" s="32" t="s">
        <v>33</v>
      </c>
    </row>
    <row r="5" spans="1:29" ht="28.8">
      <c r="B5" s="247" t="s">
        <v>34</v>
      </c>
      <c r="C5" s="33" t="s">
        <v>35</v>
      </c>
      <c r="D5" s="33" t="s">
        <v>36</v>
      </c>
      <c r="E5" s="33" t="s">
        <v>37</v>
      </c>
      <c r="F5" s="33" t="s">
        <v>38</v>
      </c>
      <c r="G5" s="33" t="s">
        <v>39</v>
      </c>
      <c r="H5" s="33" t="s">
        <v>40</v>
      </c>
      <c r="I5" s="33" t="s">
        <v>41</v>
      </c>
    </row>
    <row r="6" spans="1:29">
      <c r="B6" s="82" t="s">
        <v>192</v>
      </c>
      <c r="C6" s="50" t="str">
        <f>ELC_CCS_N_CAP!B6</f>
        <v>ECCOAAPEXC5NCCSPOST</v>
      </c>
      <c r="D6" s="115" t="str">
        <f>ELC_CCS_N_CAP!C6</f>
        <v>01  Advanced Pulverized Fuel Power Plant - Coal centralised - With CCS Post-combustion</v>
      </c>
      <c r="E6" s="35" t="s">
        <v>188</v>
      </c>
      <c r="F6" s="72" t="s">
        <v>189</v>
      </c>
      <c r="G6" s="66"/>
      <c r="H6" s="66"/>
      <c r="I6" s="100" t="s">
        <v>195</v>
      </c>
    </row>
    <row r="7" spans="1:29">
      <c r="A7" s="36"/>
      <c r="B7" s="82"/>
      <c r="C7" s="115" t="str">
        <f>ELC_CCS_N_CAP!B12</f>
        <v>ECCOAAPEXC5NCCSOXY</v>
      </c>
      <c r="D7" s="115" t="str">
        <f>ELC_CCS_N_CAP!C12</f>
        <v>01  Advanced Pulverized Fuel Power Plant - Coal centralised - With CCS Oxyfuel-combustion</v>
      </c>
      <c r="E7" s="35" t="s">
        <v>188</v>
      </c>
      <c r="F7" s="72" t="s">
        <v>189</v>
      </c>
      <c r="G7" s="66"/>
      <c r="H7" s="66"/>
      <c r="I7" s="100" t="s">
        <v>195</v>
      </c>
      <c r="J7" s="36"/>
      <c r="L7" s="36"/>
      <c r="M7" s="36"/>
      <c r="N7" s="36"/>
    </row>
    <row r="8" spans="1:29" s="134" customFormat="1">
      <c r="A8" s="109"/>
      <c r="B8" s="82"/>
      <c r="C8" s="115" t="str">
        <f>ELC_CCS_N_CAP!B18</f>
        <v>ECWPEAPEXC5NCCSPOST</v>
      </c>
      <c r="D8" s="115" t="str">
        <f>ELC_CCS_N_CAP!C18</f>
        <v>01  Advanced Pulverized Fuel Power Plant - Wood Pellets centralised - With CCS Post-combustion</v>
      </c>
      <c r="E8" s="118" t="s">
        <v>188</v>
      </c>
      <c r="F8" s="119" t="s">
        <v>189</v>
      </c>
      <c r="G8" s="110"/>
      <c r="H8" s="110"/>
      <c r="I8" s="117" t="s">
        <v>195</v>
      </c>
      <c r="J8" s="109"/>
      <c r="L8" s="109"/>
      <c r="M8" s="109"/>
      <c r="N8" s="109"/>
    </row>
    <row r="9" spans="1:29" s="134" customFormat="1">
      <c r="A9" s="109"/>
      <c r="B9" s="82"/>
      <c r="C9" s="115" t="str">
        <f>ELC_CCS_N_CAP!B24</f>
        <v>ECWPEAPEXC5NCCSOXY</v>
      </c>
      <c r="D9" s="115" t="str">
        <f>ELC_CCS_N_CAP!C24</f>
        <v>01  Advanced Pulverized Fuel Power Plant - Wood Pellets centralised - With CCS Oxyfuel-combustion</v>
      </c>
      <c r="E9" s="118" t="s">
        <v>188</v>
      </c>
      <c r="F9" s="119" t="s">
        <v>189</v>
      </c>
      <c r="G9" s="110"/>
      <c r="H9" s="110"/>
      <c r="I9" s="117" t="s">
        <v>195</v>
      </c>
      <c r="J9" s="109"/>
      <c r="L9" s="109"/>
      <c r="M9" s="109"/>
      <c r="N9" s="109"/>
    </row>
    <row r="10" spans="1:29" s="49" customFormat="1">
      <c r="A10" s="36"/>
      <c r="B10" s="82"/>
      <c r="C10" s="115" t="str">
        <f>ELC_CCS_N_CAP!B30</f>
        <v>ECNGAGTEXC5NCCSPOST</v>
      </c>
      <c r="D10" s="115" t="str">
        <f>ELC_CCS_N_CAP!C30</f>
        <v>05  Gas Turbine Combined Cycle - Steam Extraction centralised - With CCS Post-combustion</v>
      </c>
      <c r="E10" s="85" t="s">
        <v>188</v>
      </c>
      <c r="F10" s="87" t="s">
        <v>189</v>
      </c>
      <c r="G10" s="66"/>
      <c r="H10" s="66"/>
      <c r="I10" s="100" t="s">
        <v>195</v>
      </c>
      <c r="J10" s="36"/>
      <c r="L10" s="36"/>
      <c r="M10" s="36"/>
      <c r="N10" s="36"/>
    </row>
    <row r="11" spans="1:29" s="113" customFormat="1">
      <c r="A11" s="109"/>
      <c r="B11" s="82"/>
      <c r="C11" s="84" t="str">
        <f>ELC_CCS_N_CAP!B36</f>
        <v>ECNGAGTEXC5NCCSOXY</v>
      </c>
      <c r="D11" s="115" t="str">
        <f>ELC_CCS_N_CAP!C36</f>
        <v>05  Gas Turbine Combined Cycle - Steam Extraction centralised - With CCS Oxyfuel-combustion</v>
      </c>
      <c r="E11" s="85" t="s">
        <v>188</v>
      </c>
      <c r="F11" s="87" t="s">
        <v>189</v>
      </c>
      <c r="G11" s="66"/>
      <c r="H11" s="66"/>
      <c r="I11" s="100" t="s">
        <v>195</v>
      </c>
      <c r="J11" s="109"/>
      <c r="L11" s="109"/>
      <c r="M11" s="109"/>
      <c r="N11" s="109"/>
    </row>
    <row r="12" spans="1:29">
      <c r="A12" s="36"/>
      <c r="B12" s="82"/>
      <c r="C12" s="83" t="str">
        <f>ELC_CCS_N_CAP!B42</f>
        <v>ECCPWCHBPC5NCCSPOST</v>
      </c>
      <c r="D12" s="134" t="str">
        <f>ELC_CCS_N_CAP!C42</f>
        <v>09  Biomass CHP, Steam Turbine - Woodchips Large with flue gas condensation centralised - With CCS Post-combustion</v>
      </c>
      <c r="E12" s="101" t="s">
        <v>188</v>
      </c>
      <c r="F12" s="104" t="s">
        <v>189</v>
      </c>
      <c r="G12" s="103"/>
      <c r="H12" s="103"/>
      <c r="I12" s="100" t="s">
        <v>195</v>
      </c>
      <c r="J12" s="36"/>
      <c r="L12" s="36"/>
      <c r="M12" s="36"/>
      <c r="N12" s="36"/>
    </row>
    <row r="13" spans="1:29">
      <c r="A13" s="36"/>
      <c r="B13" s="82"/>
      <c r="C13" s="92" t="str">
        <f>ELC_CCS_N_CAP!B48</f>
        <v>ECSTRSTBPC5NCCSPOST</v>
      </c>
      <c r="D13" s="134" t="str">
        <f>ELC_CCS_N_CAP!C48</f>
        <v>09  Biomass CHP, Steam Turbine - Straw Large with flue gas condensation centralised - With CCS Post-combustion</v>
      </c>
      <c r="E13" s="101" t="s">
        <v>188</v>
      </c>
      <c r="F13" s="104" t="s">
        <v>189</v>
      </c>
      <c r="G13" s="103"/>
      <c r="H13" s="103"/>
      <c r="I13" s="100" t="s">
        <v>195</v>
      </c>
      <c r="J13" s="36"/>
      <c r="L13" s="36"/>
      <c r="M13" s="36"/>
      <c r="N13" s="36"/>
    </row>
    <row r="14" spans="1:29" s="49" customFormat="1">
      <c r="A14" s="36"/>
      <c r="B14" s="82"/>
      <c r="C14" s="92" t="str">
        <f>ELC_CCS_N_CAP!B54</f>
        <v>ECCPWCHBPC5NCCSOXY</v>
      </c>
      <c r="D14" s="134" t="str">
        <f>ELC_CCS_N_CAP!C54</f>
        <v>09  Biomass CHP, Steam Turbine - Woodchips Large with flue gas condensation centralised - With CCS Oxyfuel-combustion</v>
      </c>
      <c r="E14" s="101" t="s">
        <v>188</v>
      </c>
      <c r="F14" s="104" t="s">
        <v>189</v>
      </c>
      <c r="G14" s="103"/>
      <c r="H14" s="103"/>
      <c r="I14" s="100" t="s">
        <v>195</v>
      </c>
      <c r="J14" s="36"/>
      <c r="L14" s="36"/>
      <c r="M14" s="36"/>
      <c r="N14" s="36"/>
    </row>
    <row r="15" spans="1:29" s="49" customFormat="1">
      <c r="A15" s="36"/>
      <c r="B15" s="82"/>
      <c r="C15" s="92" t="str">
        <f>ELC_CCS_N_CAP!B60</f>
        <v>ECSTRSTBPC5NCCSOXY</v>
      </c>
      <c r="D15" s="134" t="str">
        <f>ELC_CCS_N_CAP!C60</f>
        <v>09  Biomass CHP, Steam Turbine - Straw Large with flue gas condensation centralised - With CCS Oxyfuel-combustion</v>
      </c>
      <c r="E15" s="101" t="s">
        <v>188</v>
      </c>
      <c r="F15" s="104" t="s">
        <v>189</v>
      </c>
      <c r="G15" s="103"/>
      <c r="H15" s="103"/>
      <c r="I15" s="100" t="s">
        <v>195</v>
      </c>
      <c r="J15" s="36"/>
      <c r="L15" s="36"/>
      <c r="M15" s="36"/>
      <c r="N15" s="36"/>
      <c r="AC15" s="92"/>
    </row>
    <row r="16" spans="1:29" s="134" customFormat="1">
      <c r="A16" s="109"/>
      <c r="B16" s="82"/>
      <c r="C16" s="134" t="str">
        <f>ELC_CCS_N_CAP!B66</f>
        <v>ECWSTBPC5NCCSPOST</v>
      </c>
      <c r="D16" s="134" t="str">
        <f>ELC_CCS_N_CAP!C66</f>
        <v>08  Waste-to-Energy CHP Plant centralised - Large - With CCS Post-combustion</v>
      </c>
      <c r="E16" s="118" t="s">
        <v>188</v>
      </c>
      <c r="F16" s="119" t="s">
        <v>189</v>
      </c>
      <c r="G16" s="110"/>
      <c r="H16" s="110"/>
      <c r="I16" s="117" t="s">
        <v>195</v>
      </c>
      <c r="J16" s="109"/>
      <c r="L16" s="109"/>
      <c r="M16" s="109"/>
      <c r="N16" s="109"/>
    </row>
    <row r="17" spans="1:20" s="134" customFormat="1">
      <c r="A17" s="109"/>
      <c r="B17" s="82"/>
      <c r="C17" s="134" t="str">
        <f>ELC_CCS_N_CAP!B72</f>
        <v>ECWSTBPC5NCCSOXY</v>
      </c>
      <c r="D17" s="134" t="str">
        <f>ELC_CCS_N_CAP!C72</f>
        <v>08  Waste-to-Energy CHP Plant centralised - Large - With CCS Oxyfuel-combustion</v>
      </c>
      <c r="E17" s="118" t="s">
        <v>188</v>
      </c>
      <c r="F17" s="119" t="s">
        <v>189</v>
      </c>
      <c r="G17" s="110"/>
      <c r="H17" s="110"/>
      <c r="I17" s="117" t="s">
        <v>195</v>
      </c>
      <c r="J17" s="109"/>
      <c r="L17" s="109"/>
      <c r="M17" s="109"/>
      <c r="N17" s="109"/>
    </row>
    <row r="18" spans="1:20" s="83" customFormat="1">
      <c r="A18" s="86"/>
      <c r="B18" s="82" t="s">
        <v>341</v>
      </c>
      <c r="C18" s="106" t="str">
        <f>ELC_CCS_N_CAP!B90</f>
        <v>EHCPWBOC5NCCSPOST</v>
      </c>
      <c r="D18" s="134" t="str">
        <f>ELC_CCS_N_CAP!C90</f>
        <v>43  District Heating Boiler, Biomass Fired - Wood Chips centralised - With CCS Post-combustion</v>
      </c>
      <c r="E18" s="118" t="s">
        <v>188</v>
      </c>
      <c r="F18" s="119" t="s">
        <v>189</v>
      </c>
      <c r="G18" s="110"/>
      <c r="H18" s="110"/>
      <c r="I18" s="117" t="s">
        <v>195</v>
      </c>
      <c r="O18" s="88"/>
      <c r="P18" s="92"/>
      <c r="R18" s="86"/>
      <c r="S18" s="86"/>
      <c r="T18" s="86"/>
    </row>
    <row r="19" spans="1:20" s="89" customFormat="1">
      <c r="A19" s="90"/>
      <c r="B19" s="82" t="s">
        <v>341</v>
      </c>
      <c r="C19" s="113" t="str">
        <f>ELC_CCS_N_CAP!B94</f>
        <v>EHSTRBOC6NCCSPOST</v>
      </c>
      <c r="D19" s="134" t="str">
        <f>ELC_CCS_N_CAP!C94</f>
        <v>43  District Heating Boiler, Biomass Fired - Straw centralised - With CCS Post-combustion</v>
      </c>
      <c r="E19" s="118" t="s">
        <v>188</v>
      </c>
      <c r="F19" s="119" t="s">
        <v>189</v>
      </c>
      <c r="G19" s="110"/>
      <c r="H19" s="110"/>
      <c r="I19" s="117" t="s">
        <v>195</v>
      </c>
      <c r="O19" s="91"/>
      <c r="P19" s="92"/>
      <c r="R19" s="90"/>
      <c r="S19" s="90"/>
      <c r="T19" s="90"/>
    </row>
    <row r="20" spans="1:20" s="89" customFormat="1">
      <c r="A20" s="90"/>
      <c r="B20" s="82" t="s">
        <v>341</v>
      </c>
      <c r="C20" s="113" t="str">
        <f>ELC_CCS_N_CAP!B103</f>
        <v>EHWPEBOC5NCCSPOST</v>
      </c>
      <c r="D20" s="134" t="str">
        <f>ELC_CCS_N_CAP!C103</f>
        <v>43XX  District Heating Boiler, Biomass Fired - wood pellets centralised - With CCS Post-combustion</v>
      </c>
      <c r="E20" s="118" t="s">
        <v>188</v>
      </c>
      <c r="F20" s="119" t="s">
        <v>189</v>
      </c>
      <c r="G20" s="110"/>
      <c r="H20" s="110"/>
      <c r="I20" s="117" t="s">
        <v>195</v>
      </c>
      <c r="J20" s="90"/>
      <c r="L20" s="90"/>
      <c r="M20" s="90"/>
      <c r="N20" s="90"/>
    </row>
    <row r="21" spans="1:20" s="92" customFormat="1">
      <c r="A21" s="102"/>
      <c r="B21" s="82" t="s">
        <v>341</v>
      </c>
      <c r="C21" s="113" t="str">
        <f>ELC_CCS_N_CAP!B112</f>
        <v>EHNGABOC5NCCSPOST</v>
      </c>
      <c r="D21" s="134" t="str">
        <f>ELC_CCS_N_CAP!C112</f>
        <v>44  District Heating Boiler, Gas Fired centralised - With CCS Post-combustion</v>
      </c>
      <c r="E21" s="118" t="s">
        <v>188</v>
      </c>
      <c r="F21" s="119" t="s">
        <v>189</v>
      </c>
      <c r="G21" s="110"/>
      <c r="H21" s="110"/>
      <c r="I21" s="117" t="s">
        <v>195</v>
      </c>
      <c r="J21" s="102"/>
      <c r="L21" s="102"/>
      <c r="M21" s="102"/>
      <c r="N21" s="102"/>
    </row>
    <row r="22" spans="1:20" s="92" customFormat="1">
      <c r="A22" s="102"/>
      <c r="B22" s="82" t="s">
        <v>341</v>
      </c>
      <c r="C22" s="113" t="str">
        <f>ELC_CCS_N_CAP!B121</f>
        <v>EHCPWBOC5NCCSOXY</v>
      </c>
      <c r="D22" s="134" t="str">
        <f>ELC_CCS_N_CAP!C121</f>
        <v>43  District Heating Boiler, Biomass Fired - Wood Chips centralised - With CCS Oxyfuel-combustion</v>
      </c>
      <c r="E22" s="118" t="s">
        <v>188</v>
      </c>
      <c r="F22" s="119" t="s">
        <v>189</v>
      </c>
      <c r="G22" s="110"/>
      <c r="H22" s="110"/>
      <c r="I22" s="117" t="s">
        <v>195</v>
      </c>
      <c r="J22" s="102"/>
      <c r="L22" s="102"/>
      <c r="M22" s="102"/>
      <c r="N22" s="102"/>
    </row>
    <row r="23" spans="1:20" s="92" customFormat="1">
      <c r="A23" s="102"/>
      <c r="B23" s="82" t="s">
        <v>341</v>
      </c>
      <c r="C23" s="113" t="str">
        <f>ELC_CCS_N_CAP!B130</f>
        <v>EHSTRBOC6NCCSOXY</v>
      </c>
      <c r="D23" s="134" t="str">
        <f>ELC_CCS_N_CAP!C130</f>
        <v>43  District Heating Boiler, Biomass Fired - Straw centralised - With CCS Oxyfuel-combustion</v>
      </c>
      <c r="E23" s="118" t="s">
        <v>188</v>
      </c>
      <c r="F23" s="119" t="s">
        <v>189</v>
      </c>
      <c r="G23" s="110"/>
      <c r="H23" s="110"/>
      <c r="I23" s="117" t="s">
        <v>195</v>
      </c>
      <c r="J23" s="102"/>
      <c r="L23" s="102"/>
      <c r="M23" s="102"/>
      <c r="N23" s="102"/>
    </row>
    <row r="24" spans="1:20" s="106" customFormat="1">
      <c r="A24" s="109"/>
      <c r="B24" s="82" t="s">
        <v>341</v>
      </c>
      <c r="C24" s="113" t="str">
        <f>ELC_CCS_N_CAP!B139</f>
        <v>EHWPEBOC5NCCSOXY</v>
      </c>
      <c r="D24" s="134" t="str">
        <f>ELC_CCS_N_CAP!C139</f>
        <v>43XX  District Heating Boiler, Biomass Fired - wood pellets centralised - With CCS Oxyfuel-combustion</v>
      </c>
      <c r="E24" s="118" t="s">
        <v>188</v>
      </c>
      <c r="F24" s="119" t="s">
        <v>189</v>
      </c>
      <c r="G24" s="110"/>
      <c r="H24" s="110"/>
      <c r="I24" s="117" t="s">
        <v>195</v>
      </c>
      <c r="J24" s="109"/>
      <c r="L24" s="109"/>
      <c r="M24" s="109"/>
      <c r="N24" s="109"/>
      <c r="P24" s="107"/>
      <c r="Q24" s="107"/>
    </row>
    <row r="25" spans="1:20" s="106" customFormat="1">
      <c r="A25" s="109"/>
      <c r="B25" s="82" t="s">
        <v>341</v>
      </c>
      <c r="C25" s="58" t="str">
        <f>ELC_CCS_N_CAP!B148</f>
        <v>EHNGABOC5NCCSOXY</v>
      </c>
      <c r="D25" s="58" t="str">
        <f>ELC_CCS_N_CAP!C148</f>
        <v>44  District Heating Boiler, Gas Fired centralised - With CCS Oxyfuel-combustion</v>
      </c>
      <c r="E25" s="57" t="s">
        <v>188</v>
      </c>
      <c r="F25" s="57" t="s">
        <v>189</v>
      </c>
      <c r="G25" s="105"/>
      <c r="H25" s="105"/>
      <c r="I25" s="59" t="s">
        <v>195</v>
      </c>
      <c r="J25" s="109"/>
      <c r="L25" s="109"/>
      <c r="M25" s="109"/>
      <c r="N25" s="109"/>
      <c r="P25" s="111"/>
      <c r="Q25" s="111"/>
    </row>
    <row r="26" spans="1:20">
      <c r="B26" s="132" t="s">
        <v>208</v>
      </c>
      <c r="C26" s="133" t="str">
        <f>IND_CCS_N_CAP!B6</f>
        <v>CCSINDCDHTGAS</v>
      </c>
      <c r="D26" s="133" t="str">
        <f>IND_CCS_N_CAP!C6</f>
        <v>Industrial heating technology Chemical HT - gas boiler - CO2 capture</v>
      </c>
      <c r="E26" s="74" t="s">
        <v>188</v>
      </c>
      <c r="F26" s="74" t="s">
        <v>189</v>
      </c>
      <c r="G26" s="133"/>
      <c r="H26" s="133"/>
      <c r="I26" s="133"/>
    </row>
    <row r="27" spans="1:20">
      <c r="C27" t="str">
        <f>IND_CCS_N_CAP!B13</f>
        <v>CCSINDCDHTWCH</v>
      </c>
      <c r="D27" s="134" t="str">
        <f>IND_CCS_N_CAP!C13</f>
        <v>Industrial heating technology Chemical HT - Wood Chips boiler, Pellets - CO2 capture</v>
      </c>
      <c r="E27" s="118" t="s">
        <v>188</v>
      </c>
      <c r="F27" s="119" t="s">
        <v>189</v>
      </c>
    </row>
    <row r="28" spans="1:20" s="121" customFormat="1">
      <c r="B28"/>
      <c r="C28" t="str">
        <f>IND_CCS_N_CAP!B20</f>
        <v>CCSINDCDHTWPE</v>
      </c>
      <c r="D28" s="134" t="str">
        <f>IND_CCS_N_CAP!C20</f>
        <v>Industrial heating technology Chemical HT - biomass boiler automatic stoking, Pellets - CO2 capture</v>
      </c>
      <c r="E28" s="118" t="s">
        <v>188</v>
      </c>
      <c r="F28" s="119" t="s">
        <v>189</v>
      </c>
      <c r="G28"/>
      <c r="H28"/>
      <c r="I28"/>
    </row>
    <row r="29" spans="1:20" s="121" customFormat="1">
      <c r="B29"/>
      <c r="C29" s="134" t="str">
        <f>IND_CCS!C8</f>
        <v>INDGDHTGASN1CCS</v>
      </c>
      <c r="D29" s="134" t="str">
        <f>IND_CCS!D8</f>
        <v>Industrial heating technology Glass &amp; Concrete HT - Gas boiler (Steam) - new 1CCS</v>
      </c>
      <c r="E29" s="118" t="s">
        <v>188</v>
      </c>
      <c r="F29" s="119" t="s">
        <v>189</v>
      </c>
      <c r="G29"/>
      <c r="H29"/>
      <c r="I29"/>
    </row>
    <row r="30" spans="1:20" s="121" customFormat="1">
      <c r="B30"/>
      <c r="C30" s="134" t="str">
        <f>IND_CCS!C20</f>
        <v>INDGDMTGASN1CCS</v>
      </c>
      <c r="D30" s="134" t="str">
        <f>IND_CCS!D20</f>
        <v>Industrial heating technology Glass &amp; Concrete MT - Gas boiler (Steam) - new 1CCS</v>
      </c>
      <c r="E30" s="118" t="s">
        <v>188</v>
      </c>
      <c r="F30" s="119" t="s">
        <v>189</v>
      </c>
      <c r="G30"/>
      <c r="H30"/>
      <c r="I30"/>
    </row>
    <row r="31" spans="1:20" s="121" customFormat="1">
      <c r="B31" s="64"/>
      <c r="C31" s="64" t="str">
        <f>IND_CCS!C32</f>
        <v>INDGDRHGASN1CCS</v>
      </c>
      <c r="D31" s="64" t="str">
        <f>IND_CCS!D32</f>
        <v>Industrial heating technology Glass &amp; Concrete RH - Gas boiler (Steam) - new 1CCS</v>
      </c>
      <c r="E31" s="119" t="s">
        <v>188</v>
      </c>
      <c r="F31" s="119" t="s">
        <v>189</v>
      </c>
      <c r="G31" s="64"/>
      <c r="H31" s="64"/>
      <c r="I31" s="64"/>
    </row>
    <row r="32" spans="1:20">
      <c r="B32" s="64"/>
      <c r="C32" s="64" t="str">
        <f>IND_CCS!C44</f>
        <v>INDGDMTGASN2CCS</v>
      </c>
      <c r="D32" s="64" t="str">
        <f>IND_CCS!D44</f>
        <v>Industrial heating technology Glass &amp; Concrete MT - Gas boiler (Steam - condensing) - new 2CCS</v>
      </c>
      <c r="E32" s="119" t="s">
        <v>188</v>
      </c>
      <c r="F32" s="119" t="s">
        <v>189</v>
      </c>
      <c r="G32" s="64"/>
      <c r="H32" s="64"/>
      <c r="I32" s="64"/>
    </row>
    <row r="33" spans="1:14" s="134" customFormat="1">
      <c r="B33" s="64"/>
      <c r="C33" s="64" t="str">
        <f>IND_CCS!C56</f>
        <v>INDGDRHGASN2CCS</v>
      </c>
      <c r="D33" s="64" t="str">
        <f>IND_CCS!D56</f>
        <v>Industrial heating technology Glass &amp; Concrete RH - Gas boiler (Steam - condensing) - new 2CCS</v>
      </c>
      <c r="E33" s="119" t="s">
        <v>188</v>
      </c>
      <c r="F33" s="119" t="s">
        <v>189</v>
      </c>
      <c r="G33" s="64"/>
      <c r="H33" s="64"/>
      <c r="I33" s="64"/>
    </row>
    <row r="34" spans="1:14" s="134" customFormat="1">
      <c r="B34" s="64"/>
      <c r="C34" s="64" t="str">
        <f>IND_CCS!C68</f>
        <v>INDGDMTGASN3CCS</v>
      </c>
      <c r="D34" s="64" t="str">
        <f>IND_CCS!D68</f>
        <v>Industrial heating technology Glass &amp; Concrete MT - Gas boiler (Hot Water) - new 3CCS</v>
      </c>
      <c r="E34" s="119" t="s">
        <v>188</v>
      </c>
      <c r="F34" s="119" t="s">
        <v>189</v>
      </c>
      <c r="G34" s="64"/>
      <c r="H34" s="64"/>
      <c r="I34" s="64"/>
    </row>
    <row r="35" spans="1:14" s="134" customFormat="1">
      <c r="B35" s="64"/>
      <c r="C35" s="64" t="str">
        <f>IND_CCS!C80</f>
        <v>INDGDRHGASN3CCS</v>
      </c>
      <c r="D35" s="64" t="str">
        <f>IND_CCS!D80</f>
        <v>Industrial heating technology Glass &amp; Concrete RH - Gas boiler (Hot Water) - new 3CCS</v>
      </c>
      <c r="E35" s="119" t="s">
        <v>188</v>
      </c>
      <c r="F35" s="119" t="s">
        <v>189</v>
      </c>
      <c r="G35" s="64"/>
      <c r="H35" s="64"/>
      <c r="I35" s="64"/>
    </row>
    <row r="36" spans="1:14" s="134" customFormat="1">
      <c r="B36" s="64"/>
      <c r="C36" s="64" t="str">
        <f>IND_CCS!C92</f>
        <v>INDGDMTGASN4CCS</v>
      </c>
      <c r="D36" s="64" t="str">
        <f>IND_CCS!D92</f>
        <v>Industrial heating technology Glass &amp; Concrete MT - Gas boiler (Hot Water - condensing) - new 4CCS</v>
      </c>
      <c r="E36" s="119" t="s">
        <v>188</v>
      </c>
      <c r="F36" s="119" t="s">
        <v>189</v>
      </c>
      <c r="G36" s="64"/>
      <c r="H36" s="64"/>
      <c r="I36" s="64"/>
    </row>
    <row r="37" spans="1:14" s="134" customFormat="1">
      <c r="B37" s="64"/>
      <c r="C37" s="64" t="str">
        <f>IND_CCS!C104</f>
        <v>INDGDRHGASN4CCS</v>
      </c>
      <c r="D37" s="64" t="str">
        <f>IND_CCS!D104</f>
        <v>Industrial heating technology Glass &amp; Concrete RH - Gas boiler (Hot Water- condensing) - new 4CCS</v>
      </c>
      <c r="E37" s="119" t="s">
        <v>188</v>
      </c>
      <c r="F37" s="119" t="s">
        <v>189</v>
      </c>
      <c r="G37" s="64"/>
      <c r="H37" s="64"/>
      <c r="I37" s="64"/>
    </row>
    <row r="38" spans="1:14" s="134" customFormat="1">
      <c r="B38" s="64"/>
      <c r="C38" s="64" t="str">
        <f>IND_CCS!C116</f>
        <v>INDGDHTGASN5CCS</v>
      </c>
      <c r="D38" s="64" t="str">
        <f>IND_CCS!D116</f>
        <v>Industrial heating technology Glass &amp; Concrete HT - Gas boiler (Direct firing) - new 5CCS</v>
      </c>
      <c r="E38" s="119" t="s">
        <v>188</v>
      </c>
      <c r="F38" s="119" t="s">
        <v>189</v>
      </c>
      <c r="G38" s="64"/>
      <c r="H38" s="64"/>
      <c r="I38" s="64"/>
    </row>
    <row r="39" spans="1:14" s="134" customFormat="1">
      <c r="B39" s="64"/>
      <c r="C39" s="64" t="str">
        <f>IND_CCS!C128</f>
        <v>INDGDMTGASN5CCS</v>
      </c>
      <c r="D39" s="64" t="str">
        <f>IND_CCS!D128</f>
        <v>Industrial heating technology Glass &amp; Concrete MT - Gas boiler (Direct firing) - new 5CCS</v>
      </c>
      <c r="E39" s="119" t="s">
        <v>188</v>
      </c>
      <c r="F39" s="119" t="s">
        <v>189</v>
      </c>
      <c r="G39" s="64"/>
      <c r="H39" s="64"/>
      <c r="I39" s="64"/>
    </row>
    <row r="40" spans="1:14" s="134" customFormat="1">
      <c r="B40" s="64"/>
      <c r="C40" s="64" t="str">
        <f>IND_CCS!C140</f>
        <v>INDGDHTCOAN1CCS</v>
      </c>
      <c r="D40" s="64" t="str">
        <f>IND_CCS!D140</f>
        <v>Industrial heating technology Glass &amp; Concrete HT - Coal boiler (Steam) - new 1CCS</v>
      </c>
      <c r="E40" s="119" t="s">
        <v>188</v>
      </c>
      <c r="F40" s="119" t="s">
        <v>189</v>
      </c>
      <c r="G40" s="64"/>
      <c r="H40" s="64"/>
      <c r="I40" s="64"/>
    </row>
    <row r="41" spans="1:14" s="134" customFormat="1">
      <c r="B41" s="64"/>
      <c r="C41" s="64" t="str">
        <f>IND_CCS!C152</f>
        <v>INDGDMTCOAN1CCS</v>
      </c>
      <c r="D41" s="64" t="str">
        <f>IND_CCS!D152</f>
        <v>Industrial heating technology Glass &amp; Concrete MT - Coal boiler (Steam) - new 1CCS</v>
      </c>
      <c r="E41" s="119" t="s">
        <v>188</v>
      </c>
      <c r="F41" s="119" t="s">
        <v>189</v>
      </c>
      <c r="G41" s="64"/>
      <c r="H41" s="64"/>
      <c r="I41" s="64"/>
    </row>
    <row r="42" spans="1:14" s="134" customFormat="1">
      <c r="B42" s="64"/>
      <c r="C42" s="64" t="str">
        <f>IND_CCS!C164</f>
        <v>INDGDRHCOAN1CCS</v>
      </c>
      <c r="D42" s="64" t="str">
        <f>IND_CCS!D164</f>
        <v>Industrial heating technology Glass &amp; Concrete RH - Coal boiler (Steam) - new 1CCS</v>
      </c>
      <c r="E42" s="119" t="s">
        <v>188</v>
      </c>
      <c r="F42" s="119" t="s">
        <v>189</v>
      </c>
      <c r="G42" s="64"/>
      <c r="H42" s="64"/>
      <c r="I42" s="64"/>
    </row>
    <row r="43" spans="1:14" s="134" customFormat="1">
      <c r="B43" s="64"/>
      <c r="C43" s="64" t="str">
        <f>IND_CCS!C176</f>
        <v>INDGDMTCOAN2CCS</v>
      </c>
      <c r="D43" s="64" t="str">
        <f>IND_CCS!D176</f>
        <v>Industrial heating technology Glass &amp; Concrete MT - Coal boiler (Hot Water) - new 2CCS</v>
      </c>
      <c r="E43" s="119" t="s">
        <v>188</v>
      </c>
      <c r="F43" s="119" t="s">
        <v>189</v>
      </c>
      <c r="G43" s="64"/>
      <c r="H43" s="64"/>
      <c r="I43" s="64"/>
    </row>
    <row r="44" spans="1:14" s="134" customFormat="1">
      <c r="B44" s="64"/>
      <c r="C44" s="64" t="str">
        <f>IND_CCS!C188</f>
        <v>INDGDRHCOAN2CCS</v>
      </c>
      <c r="D44" s="64" t="str">
        <f>IND_CCS!D188</f>
        <v>Industrial heating technology Glass &amp; Concrete RH - Coal boiler (Hot Water) - new 2CCS</v>
      </c>
      <c r="E44" s="119" t="s">
        <v>188</v>
      </c>
      <c r="F44" s="119" t="s">
        <v>189</v>
      </c>
      <c r="G44" s="64"/>
      <c r="H44" s="64"/>
      <c r="I44" s="64"/>
    </row>
    <row r="45" spans="1:14">
      <c r="A45" s="36"/>
      <c r="B45" s="64"/>
      <c r="C45" s="64" t="str">
        <f>IND_CCS_N_CAP!B27</f>
        <v>CCSINDSDHTCOA</v>
      </c>
      <c r="D45" s="64" t="str">
        <f>IND_CCS_N_CAP!C27</f>
        <v>Industrial heating technology Iron &amp; Steel  HT - Coal boiler - CO2 capture</v>
      </c>
      <c r="E45" s="64" t="s">
        <v>188</v>
      </c>
      <c r="F45" s="64" t="s">
        <v>666</v>
      </c>
      <c r="G45" s="64"/>
      <c r="H45" s="64"/>
      <c r="I45" s="64"/>
      <c r="J45" s="36"/>
      <c r="L45" s="36"/>
      <c r="M45" s="36"/>
      <c r="N45" s="36"/>
    </row>
    <row r="46" spans="1:14">
      <c r="B46" s="64"/>
      <c r="C46" s="64" t="str">
        <f>IND_CCS_N_CAP!B34</f>
        <v>CCSINDSDHTGAS</v>
      </c>
      <c r="D46" s="64" t="str">
        <f>IND_CCS_N_CAP!C34</f>
        <v>Industrial heating technology Iron &amp; Steel  HT - gas boiler - CO2 capture</v>
      </c>
      <c r="E46" s="64" t="s">
        <v>188</v>
      </c>
      <c r="F46" s="64" t="s">
        <v>666</v>
      </c>
      <c r="G46" s="64"/>
      <c r="H46" s="64"/>
      <c r="I46" s="64"/>
    </row>
    <row r="47" spans="1:14">
      <c r="B47" s="64"/>
      <c r="C47" s="64" t="str">
        <f>IND_CCS_N_CAP!B41</f>
        <v>CCSINDSDHTWPE</v>
      </c>
      <c r="D47" s="64" t="str">
        <f>IND_CCS_N_CAP!C41</f>
        <v>Industrial heating technology Iron &amp; Steel  HT - biomass boiler automatic stoking, Pellets - CO2 capture</v>
      </c>
      <c r="E47" s="64" t="s">
        <v>188</v>
      </c>
      <c r="F47" s="64" t="s">
        <v>666</v>
      </c>
      <c r="G47" s="64"/>
      <c r="H47" s="64"/>
      <c r="I47" s="64"/>
    </row>
    <row r="48" spans="1:14">
      <c r="B48" s="64"/>
      <c r="C48" s="64" t="str">
        <f>IND_CCS_N_CAP!B48</f>
        <v>CCSINDSDHTWCH</v>
      </c>
      <c r="D48" s="64" t="str">
        <f>IND_CCS_N_CAP!C48</f>
        <v>Industrial heating technology Iron &amp; Steel  HT - Wood Chips boiler, Pellets - CO2 capture</v>
      </c>
      <c r="E48" s="64" t="s">
        <v>188</v>
      </c>
      <c r="F48" s="64" t="s">
        <v>666</v>
      </c>
      <c r="G48" s="64"/>
      <c r="H48" s="64"/>
      <c r="I48" s="64"/>
    </row>
    <row r="49" spans="2:13">
      <c r="C49" s="134" t="str">
        <f>IND_CCS_N_CAP!B55</f>
        <v>CCSINDXDHTCOA</v>
      </c>
      <c r="D49" s="134" t="str">
        <f>IND_CCS_N_CAP!C55</f>
        <v>Industrial heating technology Aluminium HT - Coal boiler - CO2 capture</v>
      </c>
      <c r="E49" s="134" t="s">
        <v>188</v>
      </c>
      <c r="F49" s="134" t="s">
        <v>666</v>
      </c>
    </row>
    <row r="50" spans="2:13">
      <c r="C50" s="134" t="str">
        <f>IND_CCS_N_CAP!B62</f>
        <v>CCSINDXDHTGAS</v>
      </c>
      <c r="D50" s="134" t="str">
        <f>IND_CCS_N_CAP!C62</f>
        <v>Industrial heating technology Aluminium HT - gas boiler - CO2 capture</v>
      </c>
      <c r="E50" s="134" t="s">
        <v>188</v>
      </c>
      <c r="F50" s="134" t="s">
        <v>666</v>
      </c>
    </row>
    <row r="51" spans="2:13" ht="15" customHeight="1">
      <c r="C51" s="134" t="str">
        <f>IND_CCS_N_CAP!B69</f>
        <v>CCSINDXDHTWCH</v>
      </c>
      <c r="D51" s="134" t="str">
        <f>IND_CCS_N_CAP!C69</f>
        <v>Industrial heating technology Aluminium HT - Wood Chips boiler, Pellets - CO2 capture</v>
      </c>
      <c r="E51" s="134" t="s">
        <v>188</v>
      </c>
      <c r="F51" s="134" t="s">
        <v>666</v>
      </c>
    </row>
    <row r="52" spans="2:13">
      <c r="C52" s="134" t="str">
        <f>IND_CCS_N_CAP!B76</f>
        <v>CCSINDXDHTWPE</v>
      </c>
      <c r="D52" s="134" t="str">
        <f>IND_CCS_N_CAP!C76</f>
        <v>Industrial heating technology Aluminium HT - biomass boiler automatic stoking, Pellets - CO2 capture</v>
      </c>
      <c r="E52" s="134" t="s">
        <v>188</v>
      </c>
      <c r="F52" s="134" t="s">
        <v>666</v>
      </c>
    </row>
    <row r="53" spans="2:13" s="134" customFormat="1">
      <c r="B53" s="134" t="s">
        <v>136</v>
      </c>
      <c r="C53" s="134" t="str">
        <f>SUP_DAC!B6</f>
        <v>SUPDACELC1N</v>
      </c>
      <c r="D53" s="134" t="str">
        <f>SUP_DAC!C6</f>
        <v>Direct air to Capturing CO2, electricity, Central</v>
      </c>
      <c r="E53" s="118" t="s">
        <v>157</v>
      </c>
      <c r="F53" s="119" t="s">
        <v>381</v>
      </c>
    </row>
    <row r="54" spans="2:13" s="134" customFormat="1">
      <c r="C54" s="134" t="str">
        <f>SUP_DAC!B16</f>
        <v>SUPDACELD1N</v>
      </c>
      <c r="D54" s="134" t="str">
        <f>SUP_DAC!C16</f>
        <v>Direct air to Capturing CO2, electricity, Decentral</v>
      </c>
      <c r="E54" s="118" t="s">
        <v>157</v>
      </c>
      <c r="F54" s="119" t="s">
        <v>381</v>
      </c>
    </row>
    <row r="55" spans="2:13" s="134" customFormat="1">
      <c r="B55" s="133" t="s">
        <v>136</v>
      </c>
      <c r="C55" s="133" t="str">
        <f>"CSTRAP"&amp;M55</f>
        <v>CSTRAPDK1DTS</v>
      </c>
      <c r="D55" s="133" t="str">
        <f>"Transport technology by pipeline from "&amp;LEFT(M55,3)&amp;" to "&amp;RIGHT(M55,3)</f>
        <v>Transport technology by pipeline from DK1 to DTS</v>
      </c>
      <c r="E55" s="74" t="s">
        <v>157</v>
      </c>
      <c r="F55" s="74" t="s">
        <v>381</v>
      </c>
      <c r="G55" s="133"/>
      <c r="H55" s="133"/>
      <c r="I55" s="133"/>
      <c r="M55" s="197" t="str">
        <f>'Data_Dist_&amp;_CAP'!E13</f>
        <v>DK1DTS</v>
      </c>
    </row>
    <row r="56" spans="2:13" s="134" customFormat="1">
      <c r="C56" s="134" t="str">
        <f t="shared" ref="C56:C111" si="0">"CSTRAP"&amp;M56</f>
        <v>CSTRAPDK1DGS</v>
      </c>
      <c r="D56" s="64" t="str">
        <f>"Transport technology by pipeline from "&amp;LEFT(M56,3)&amp;" to "&amp;RIGHT(M56,3)</f>
        <v>Transport technology by pipeline from DK1 to DGS</v>
      </c>
      <c r="E56" s="118" t="s">
        <v>157</v>
      </c>
      <c r="F56" s="119" t="s">
        <v>381</v>
      </c>
      <c r="M56" s="197" t="str">
        <f>'Data_Dist_&amp;_CAP'!E14</f>
        <v>DK1DGS</v>
      </c>
    </row>
    <row r="57" spans="2:13" s="134" customFormat="1">
      <c r="C57" s="134" t="str">
        <f t="shared" si="0"/>
        <v>CSTRAPDK1DGA</v>
      </c>
      <c r="D57" s="64" t="str">
        <f t="shared" ref="D57:D83" si="1">"Transport technology by pipeline from "&amp;LEFT(M57,3)&amp;" to "&amp;RIGHT(M57,3)</f>
        <v>Transport technology by pipeline from DK1 to DGA</v>
      </c>
      <c r="E57" s="118" t="s">
        <v>157</v>
      </c>
      <c r="F57" s="119" t="s">
        <v>381</v>
      </c>
      <c r="M57" s="197" t="str">
        <f>'Data_Dist_&amp;_CAP'!E15</f>
        <v>DK1DGA</v>
      </c>
    </row>
    <row r="58" spans="2:13" s="134" customFormat="1">
      <c r="C58" s="134" t="str">
        <f t="shared" si="0"/>
        <v>CSTRAPDK1NSF</v>
      </c>
      <c r="D58" s="64" t="str">
        <f t="shared" si="1"/>
        <v>Transport technology by pipeline from DK1 to NSF</v>
      </c>
      <c r="E58" s="118" t="s">
        <v>157</v>
      </c>
      <c r="F58" s="119" t="s">
        <v>381</v>
      </c>
      <c r="M58" s="197" t="str">
        <f>'Data_Dist_&amp;_CAP'!E16</f>
        <v>DK1NSF</v>
      </c>
    </row>
    <row r="59" spans="2:13" s="134" customFormat="1">
      <c r="C59" s="134" t="str">
        <f>"CSTRAP"&amp;M59</f>
        <v>CSTRAPDK1DHF</v>
      </c>
      <c r="D59" s="64" t="str">
        <f t="shared" ref="D59" si="2">"Transport technology by pipeline from "&amp;LEFT(M59,3)&amp;" to "&amp;RIGHT(M59,3)</f>
        <v>Transport technology by pipeline from DK1 to DHF</v>
      </c>
      <c r="E59" s="118" t="s">
        <v>157</v>
      </c>
      <c r="F59" s="119" t="s">
        <v>381</v>
      </c>
      <c r="M59" s="197" t="s">
        <v>691</v>
      </c>
    </row>
    <row r="60" spans="2:13" s="134" customFormat="1">
      <c r="C60" s="134" t="str">
        <f t="shared" si="0"/>
        <v>CSTRAPDK2DZS</v>
      </c>
      <c r="D60" s="64" t="str">
        <f t="shared" si="1"/>
        <v>Transport technology by pipeline from DK2 to DZS</v>
      </c>
      <c r="E60" s="118" t="s">
        <v>157</v>
      </c>
      <c r="F60" s="119" t="s">
        <v>381</v>
      </c>
      <c r="M60" s="197" t="str">
        <f>'Data_Dist_&amp;_CAP'!E18</f>
        <v>DK2DZS</v>
      </c>
    </row>
    <row r="61" spans="2:13" s="134" customFormat="1">
      <c r="C61" s="134" t="str">
        <f t="shared" si="0"/>
        <v>CSTRAPDK2NSF</v>
      </c>
      <c r="D61" s="64" t="str">
        <f t="shared" si="1"/>
        <v>Transport technology by pipeline from DK2 to NSF</v>
      </c>
      <c r="E61" s="118" t="s">
        <v>157</v>
      </c>
      <c r="F61" s="119" t="s">
        <v>381</v>
      </c>
      <c r="M61" s="197" t="str">
        <f>'Data_Dist_&amp;_CAP'!E19</f>
        <v>DK2NSF</v>
      </c>
    </row>
    <row r="62" spans="2:13" s="134" customFormat="1">
      <c r="C62" s="134" t="str">
        <f t="shared" si="0"/>
        <v>CSTRAPDK2SAA</v>
      </c>
      <c r="D62" s="64" t="str">
        <f t="shared" si="1"/>
        <v>Transport technology by pipeline from DK2 to SAA</v>
      </c>
      <c r="E62" s="118" t="s">
        <v>157</v>
      </c>
      <c r="F62" s="119" t="s">
        <v>381</v>
      </c>
      <c r="M62" s="197" t="str">
        <f>'Data_Dist_&amp;_CAP'!E20</f>
        <v>DK2SAA</v>
      </c>
    </row>
    <row r="63" spans="2:13" s="134" customFormat="1">
      <c r="C63" s="134" t="str">
        <f>"CSTRAP"&amp;M63</f>
        <v>CSTRAPDK2DHF</v>
      </c>
      <c r="D63" s="64" t="str">
        <f t="shared" si="1"/>
        <v>Transport technology by pipeline from DK2 to DHF</v>
      </c>
      <c r="E63" s="118" t="s">
        <v>157</v>
      </c>
      <c r="F63" s="119" t="s">
        <v>381</v>
      </c>
      <c r="M63" s="197" t="s">
        <v>692</v>
      </c>
    </row>
    <row r="64" spans="2:13" s="134" customFormat="1">
      <c r="C64" s="134" t="str">
        <f t="shared" si="0"/>
        <v>CSTRAPSE1SFA</v>
      </c>
      <c r="D64" s="64" t="str">
        <f t="shared" si="1"/>
        <v>Transport technology by pipeline from SE1 to SFA</v>
      </c>
      <c r="E64" s="118" t="s">
        <v>157</v>
      </c>
      <c r="F64" s="119" t="s">
        <v>381</v>
      </c>
      <c r="M64" s="197" t="str">
        <f>'Data_Dist_&amp;_CAP'!E22</f>
        <v>SE1SFA</v>
      </c>
    </row>
    <row r="65" spans="3:13" s="134" customFormat="1">
      <c r="C65" s="134" t="str">
        <f t="shared" si="0"/>
        <v>CSTRAPSE1NSF</v>
      </c>
      <c r="D65" s="64" t="str">
        <f t="shared" si="1"/>
        <v>Transport technology by pipeline from SE1 to NSF</v>
      </c>
      <c r="E65" s="118" t="s">
        <v>157</v>
      </c>
      <c r="F65" s="119" t="s">
        <v>381</v>
      </c>
      <c r="M65" s="197" t="str">
        <f>'Data_Dist_&amp;_CAP'!E23</f>
        <v>SE1NSF</v>
      </c>
    </row>
    <row r="66" spans="3:13" s="134" customFormat="1">
      <c r="C66" s="134" t="str">
        <f t="shared" si="0"/>
        <v>CSTRAPSE2SFA</v>
      </c>
      <c r="D66" s="64" t="str">
        <f t="shared" si="1"/>
        <v>Transport technology by pipeline from SE2 to SFA</v>
      </c>
      <c r="E66" s="118" t="s">
        <v>157</v>
      </c>
      <c r="F66" s="119" t="s">
        <v>381</v>
      </c>
      <c r="M66" s="197" t="str">
        <f>'Data_Dist_&amp;_CAP'!E24</f>
        <v>SE2SFA</v>
      </c>
    </row>
    <row r="67" spans="3:13" s="134" customFormat="1">
      <c r="C67" s="134" t="str">
        <f t="shared" si="0"/>
        <v>CSTRAPSE2NSF</v>
      </c>
      <c r="D67" s="64" t="str">
        <f t="shared" si="1"/>
        <v>Transport technology by pipeline from SE2 to NSF</v>
      </c>
      <c r="E67" s="118" t="s">
        <v>157</v>
      </c>
      <c r="F67" s="119" t="s">
        <v>381</v>
      </c>
      <c r="M67" s="197" t="str">
        <f>'Data_Dist_&amp;_CAP'!E25</f>
        <v>SE2NSF</v>
      </c>
    </row>
    <row r="68" spans="3:13" s="134" customFormat="1">
      <c r="C68" s="134" t="str">
        <f t="shared" si="0"/>
        <v>CSTRAPSE3SFA</v>
      </c>
      <c r="D68" s="64" t="str">
        <f t="shared" si="1"/>
        <v>Transport technology by pipeline from SE3 to SFA</v>
      </c>
      <c r="E68" s="118" t="s">
        <v>157</v>
      </c>
      <c r="F68" s="119" t="s">
        <v>381</v>
      </c>
      <c r="M68" s="197" t="str">
        <f>'Data_Dist_&amp;_CAP'!E26</f>
        <v>SE3SFA</v>
      </c>
    </row>
    <row r="69" spans="3:13" s="134" customFormat="1">
      <c r="C69" s="134" t="str">
        <f t="shared" si="0"/>
        <v>CSTRAPSE3SAA</v>
      </c>
      <c r="D69" s="64" t="str">
        <f t="shared" si="1"/>
        <v>Transport technology by pipeline from SE3 to SAA</v>
      </c>
      <c r="E69" s="118" t="s">
        <v>157</v>
      </c>
      <c r="F69" s="119" t="s">
        <v>381</v>
      </c>
      <c r="M69" s="197" t="str">
        <f>'Data_Dist_&amp;_CAP'!E27</f>
        <v>SE3SAA</v>
      </c>
    </row>
    <row r="70" spans="3:13" s="134" customFormat="1">
      <c r="C70" s="134" t="str">
        <f t="shared" si="0"/>
        <v>CSTRAPSE3NSF</v>
      </c>
      <c r="D70" s="64" t="str">
        <f t="shared" si="1"/>
        <v>Transport technology by pipeline from SE3 to NSF</v>
      </c>
      <c r="E70" s="118" t="s">
        <v>157</v>
      </c>
      <c r="F70" s="119" t="s">
        <v>381</v>
      </c>
      <c r="M70" s="197" t="str">
        <f>'Data_Dist_&amp;_CAP'!E28</f>
        <v>SE3NSF</v>
      </c>
    </row>
    <row r="71" spans="3:13" s="134" customFormat="1">
      <c r="C71" s="134" t="str">
        <f t="shared" si="0"/>
        <v>CSTRAPSE4DZS</v>
      </c>
      <c r="D71" s="64" t="str">
        <f t="shared" si="1"/>
        <v>Transport technology by pipeline from SE4 to DZS</v>
      </c>
      <c r="E71" s="118" t="s">
        <v>157</v>
      </c>
      <c r="F71" s="119" t="s">
        <v>381</v>
      </c>
      <c r="M71" s="197" t="str">
        <f>'Data_Dist_&amp;_CAP'!E29</f>
        <v>SE4DZS</v>
      </c>
    </row>
    <row r="72" spans="3:13" s="134" customFormat="1">
      <c r="C72" s="134" t="str">
        <f t="shared" si="0"/>
        <v>CSTRAPSE4NSF</v>
      </c>
      <c r="D72" s="64" t="str">
        <f t="shared" si="1"/>
        <v>Transport technology by pipeline from SE4 to NSF</v>
      </c>
      <c r="E72" s="118" t="s">
        <v>157</v>
      </c>
      <c r="F72" s="119" t="s">
        <v>381</v>
      </c>
      <c r="M72" s="197" t="str">
        <f>'Data_Dist_&amp;_CAP'!E30</f>
        <v>SE4NSF</v>
      </c>
    </row>
    <row r="73" spans="3:13" s="134" customFormat="1">
      <c r="C73" s="134" t="str">
        <f t="shared" si="0"/>
        <v>CSTRAPSE4SAA</v>
      </c>
      <c r="D73" s="64" t="str">
        <f t="shared" si="1"/>
        <v>Transport technology by pipeline from SE4 to SAA</v>
      </c>
      <c r="E73" s="118" t="s">
        <v>157</v>
      </c>
      <c r="F73" s="119" t="s">
        <v>381</v>
      </c>
      <c r="M73" s="197" t="str">
        <f>'Data_Dist_&amp;_CAP'!E31</f>
        <v>SE4SAA</v>
      </c>
    </row>
    <row r="74" spans="3:13" s="134" customFormat="1">
      <c r="C74" s="134" t="str">
        <f t="shared" si="0"/>
        <v>CSTRAPNO1DHS</v>
      </c>
      <c r="D74" s="64" t="str">
        <f t="shared" si="1"/>
        <v>Transport technology by pipeline from NO1 to DHS</v>
      </c>
      <c r="E74" s="118" t="s">
        <v>157</v>
      </c>
      <c r="F74" s="119" t="s">
        <v>381</v>
      </c>
      <c r="M74" s="197" t="str">
        <f>'Data_Dist_&amp;_CAP'!E32</f>
        <v>NO1DHS</v>
      </c>
    </row>
    <row r="75" spans="3:13" s="134" customFormat="1">
      <c r="C75" s="134" t="str">
        <f t="shared" si="0"/>
        <v>CSTRAPNO1DGA</v>
      </c>
      <c r="D75" s="64" t="str">
        <f t="shared" si="1"/>
        <v>Transport technology by pipeline from NO1 to DGA</v>
      </c>
      <c r="E75" s="118" t="s">
        <v>157</v>
      </c>
      <c r="F75" s="119" t="s">
        <v>381</v>
      </c>
      <c r="M75" s="197" t="str">
        <f>'Data_Dist_&amp;_CAP'!E33</f>
        <v>NO1DGA</v>
      </c>
    </row>
    <row r="76" spans="3:13" s="134" customFormat="1">
      <c r="C76" s="134" t="str">
        <f t="shared" si="0"/>
        <v>CSTRAPNO1NSF</v>
      </c>
      <c r="D76" s="64" t="str">
        <f t="shared" si="1"/>
        <v>Transport technology by pipeline from NO1 to NSF</v>
      </c>
      <c r="E76" s="118" t="s">
        <v>157</v>
      </c>
      <c r="F76" s="119" t="s">
        <v>381</v>
      </c>
      <c r="M76" s="197" t="str">
        <f>'Data_Dist_&amp;_CAP'!E34</f>
        <v>NO1NSF</v>
      </c>
    </row>
    <row r="77" spans="3:13" s="134" customFormat="1">
      <c r="C77" s="134" t="str">
        <f t="shared" si="0"/>
        <v>CSTRAPNO2NSA</v>
      </c>
      <c r="D77" s="64" t="str">
        <f t="shared" si="1"/>
        <v>Transport technology by pipeline from NO2 to NSA</v>
      </c>
      <c r="E77" s="118" t="s">
        <v>157</v>
      </c>
      <c r="F77" s="119" t="s">
        <v>381</v>
      </c>
      <c r="M77" s="197" t="str">
        <f>'Data_Dist_&amp;_CAP'!E35</f>
        <v>NO2NSA</v>
      </c>
    </row>
    <row r="78" spans="3:13" s="134" customFormat="1">
      <c r="C78" s="134" t="str">
        <f t="shared" si="0"/>
        <v>CSTRAPNO2NMF</v>
      </c>
      <c r="D78" s="64" t="str">
        <f t="shared" si="1"/>
        <v>Transport technology by pipeline from NO2 to NMF</v>
      </c>
      <c r="E78" s="118" t="s">
        <v>157</v>
      </c>
      <c r="F78" s="119" t="s">
        <v>381</v>
      </c>
      <c r="M78" s="197" t="str">
        <f>'Data_Dist_&amp;_CAP'!E36</f>
        <v>NO2NMF</v>
      </c>
    </row>
    <row r="79" spans="3:13" s="134" customFormat="1">
      <c r="C79" s="134" t="str">
        <f t="shared" si="0"/>
        <v>CSTRAPNO2NSF</v>
      </c>
      <c r="D79" s="64" t="str">
        <f t="shared" si="1"/>
        <v>Transport technology by pipeline from NO2 to NSF</v>
      </c>
      <c r="E79" s="118" t="s">
        <v>157</v>
      </c>
      <c r="F79" s="119" t="s">
        <v>381</v>
      </c>
      <c r="M79" s="197" t="str">
        <f>'Data_Dist_&amp;_CAP'!E37</f>
        <v>NO2NSF</v>
      </c>
    </row>
    <row r="80" spans="3:13" s="134" customFormat="1">
      <c r="C80" s="134" t="str">
        <f t="shared" si="0"/>
        <v>CSTRAPNO5NGA</v>
      </c>
      <c r="D80" s="64" t="str">
        <f t="shared" si="1"/>
        <v>Transport technology by pipeline from NO5 to NGA</v>
      </c>
      <c r="E80" s="118" t="s">
        <v>157</v>
      </c>
      <c r="F80" s="119" t="s">
        <v>381</v>
      </c>
      <c r="M80" s="197" t="str">
        <f>'Data_Dist_&amp;_CAP'!E38</f>
        <v>NO5NGA</v>
      </c>
    </row>
    <row r="81" spans="1:17" s="134" customFormat="1">
      <c r="A81" s="109"/>
      <c r="B81" s="82"/>
      <c r="C81" s="134" t="str">
        <f t="shared" si="0"/>
        <v>CSTRAPNO5NSA</v>
      </c>
      <c r="D81" s="64" t="str">
        <f t="shared" si="1"/>
        <v>Transport technology by pipeline from NO5 to NSA</v>
      </c>
      <c r="E81" s="118" t="s">
        <v>157</v>
      </c>
      <c r="F81" s="119" t="s">
        <v>381</v>
      </c>
      <c r="G81" s="110"/>
      <c r="H81" s="110"/>
      <c r="I81" s="196"/>
      <c r="J81" s="109"/>
      <c r="L81" s="109"/>
      <c r="M81" s="197" t="str">
        <f>'Data_Dist_&amp;_CAP'!E39</f>
        <v>NO5NSA</v>
      </c>
      <c r="N81" s="109"/>
      <c r="P81" s="115"/>
      <c r="Q81" s="115"/>
    </row>
    <row r="82" spans="1:17" s="134" customFormat="1">
      <c r="A82" s="109"/>
      <c r="B82" s="82"/>
      <c r="C82" s="134" t="str">
        <f t="shared" si="0"/>
        <v>CSTRAPNO5NSF</v>
      </c>
      <c r="D82" s="64" t="str">
        <f t="shared" si="1"/>
        <v>Transport technology by pipeline from NO5 to NSF</v>
      </c>
      <c r="E82" s="118" t="s">
        <v>157</v>
      </c>
      <c r="F82" s="119" t="s">
        <v>381</v>
      </c>
      <c r="G82" s="110"/>
      <c r="H82" s="110"/>
      <c r="I82" s="196"/>
      <c r="J82" s="109"/>
      <c r="L82" s="109"/>
      <c r="M82" s="197" t="str">
        <f>'Data_Dist_&amp;_CAP'!E40</f>
        <v>NO5NSF</v>
      </c>
      <c r="N82" s="109"/>
      <c r="P82" s="115"/>
      <c r="Q82" s="115"/>
    </row>
    <row r="83" spans="1:17" s="134" customFormat="1">
      <c r="A83" s="109"/>
      <c r="B83" s="82"/>
      <c r="C83" s="134" t="str">
        <f t="shared" si="0"/>
        <v>CSTRAPNO5NMF</v>
      </c>
      <c r="D83" s="64" t="str">
        <f t="shared" si="1"/>
        <v>Transport technology by pipeline from NO5 to NMF</v>
      </c>
      <c r="E83" s="118" t="s">
        <v>157</v>
      </c>
      <c r="F83" s="119" t="s">
        <v>381</v>
      </c>
      <c r="G83" s="110"/>
      <c r="H83" s="110"/>
      <c r="I83" s="196"/>
      <c r="J83" s="109"/>
      <c r="L83" s="109"/>
      <c r="M83" s="197" t="str">
        <f>'Data_Dist_&amp;_CAP'!E41</f>
        <v>NO5NMF</v>
      </c>
      <c r="N83" s="109"/>
      <c r="P83" s="115"/>
      <c r="Q83" s="115"/>
    </row>
    <row r="84" spans="1:17" s="134" customFormat="1">
      <c r="C84" s="134" t="str">
        <f t="shared" si="0"/>
        <v>CSTRAPDK1DTS</v>
      </c>
      <c r="D84" s="64" t="str">
        <f>"Transport technology by ship from "&amp;LEFT(M84,3)&amp;" to "&amp;RIGHT(M84,3)</f>
        <v>Transport technology by ship from DK1 to DTS</v>
      </c>
      <c r="E84" s="118" t="s">
        <v>157</v>
      </c>
      <c r="F84" s="119" t="s">
        <v>381</v>
      </c>
      <c r="M84" s="197" t="str">
        <f>M55</f>
        <v>DK1DTS</v>
      </c>
    </row>
    <row r="85" spans="1:17" s="134" customFormat="1">
      <c r="C85" s="134" t="str">
        <f t="shared" si="0"/>
        <v>CSTRAPDK1DGS</v>
      </c>
      <c r="D85" s="64" t="str">
        <f t="shared" ref="D85:D112" si="3">"Transport technology by ship from "&amp;LEFT(M85,3)&amp;" to "&amp;RIGHT(M85,3)</f>
        <v>Transport technology by ship from DK1 to DGS</v>
      </c>
      <c r="E85" s="118" t="s">
        <v>157</v>
      </c>
      <c r="F85" s="119" t="s">
        <v>381</v>
      </c>
      <c r="M85" s="197" t="str">
        <f t="shared" ref="M85:M92" si="4">M56</f>
        <v>DK1DGS</v>
      </c>
    </row>
    <row r="86" spans="1:17" s="134" customFormat="1">
      <c r="C86" s="134" t="str">
        <f t="shared" si="0"/>
        <v>CSTRAPDK1DGA</v>
      </c>
      <c r="D86" s="64" t="str">
        <f t="shared" si="3"/>
        <v>Transport technology by ship from DK1 to DGA</v>
      </c>
      <c r="E86" s="118" t="s">
        <v>157</v>
      </c>
      <c r="F86" s="119" t="s">
        <v>381</v>
      </c>
      <c r="M86" s="197" t="str">
        <f t="shared" si="4"/>
        <v>DK1DGA</v>
      </c>
    </row>
    <row r="87" spans="1:17" s="134" customFormat="1">
      <c r="C87" s="134" t="str">
        <f>"CSTRAP"&amp;M87</f>
        <v>CSTRAPDK1NSF</v>
      </c>
      <c r="D87" s="64" t="str">
        <f>"Transport technology by ship from "&amp;LEFT(M87,3)&amp;" to "&amp;RIGHT(M87,3)</f>
        <v>Transport technology by ship from DK1 to NSF</v>
      </c>
      <c r="E87" s="118" t="s">
        <v>157</v>
      </c>
      <c r="F87" s="119" t="s">
        <v>381</v>
      </c>
      <c r="M87" s="197" t="str">
        <f t="shared" si="4"/>
        <v>DK1NSF</v>
      </c>
    </row>
    <row r="88" spans="1:17" s="134" customFormat="1">
      <c r="C88" s="134" t="str">
        <f>"CSTRAP"&amp;M88</f>
        <v>CSTRAPDK1DHF</v>
      </c>
      <c r="D88" s="64" t="str">
        <f>"Transport technology by ship from "&amp;LEFT(M88,3)&amp;" to "&amp;RIGHT(M88,3)</f>
        <v>Transport technology by ship from DK1 to DHF</v>
      </c>
      <c r="E88" s="118" t="s">
        <v>157</v>
      </c>
      <c r="F88" s="119" t="s">
        <v>381</v>
      </c>
      <c r="M88" s="197" t="str">
        <f t="shared" si="4"/>
        <v>DK1DHF</v>
      </c>
    </row>
    <row r="89" spans="1:17" s="134" customFormat="1">
      <c r="C89" s="134" t="str">
        <f t="shared" si="0"/>
        <v>CSTRAPDK2DZS</v>
      </c>
      <c r="D89" s="64" t="str">
        <f t="shared" si="3"/>
        <v>Transport technology by ship from DK2 to DZS</v>
      </c>
      <c r="E89" s="118" t="s">
        <v>157</v>
      </c>
      <c r="F89" s="119" t="s">
        <v>381</v>
      </c>
      <c r="M89" s="197" t="str">
        <f t="shared" si="4"/>
        <v>DK2DZS</v>
      </c>
    </row>
    <row r="90" spans="1:17" s="134" customFormat="1">
      <c r="C90" s="134" t="str">
        <f t="shared" si="0"/>
        <v>CSTRAPDK2NSF</v>
      </c>
      <c r="D90" s="64" t="str">
        <f t="shared" si="3"/>
        <v>Transport technology by ship from DK2 to NSF</v>
      </c>
      <c r="E90" s="118" t="s">
        <v>157</v>
      </c>
      <c r="F90" s="119" t="s">
        <v>381</v>
      </c>
      <c r="M90" s="197" t="str">
        <f t="shared" si="4"/>
        <v>DK2NSF</v>
      </c>
    </row>
    <row r="91" spans="1:17" s="134" customFormat="1">
      <c r="C91" s="134" t="str">
        <f t="shared" si="0"/>
        <v>CSTRAPDK2SAA</v>
      </c>
      <c r="D91" s="64" t="str">
        <f t="shared" si="3"/>
        <v>Transport technology by ship from DK2 to SAA</v>
      </c>
      <c r="E91" s="118" t="s">
        <v>157</v>
      </c>
      <c r="F91" s="119" t="s">
        <v>381</v>
      </c>
      <c r="M91" s="197" t="str">
        <f t="shared" si="4"/>
        <v>DK2SAA</v>
      </c>
    </row>
    <row r="92" spans="1:17" s="134" customFormat="1">
      <c r="C92" s="134" t="str">
        <f t="shared" ref="C92" si="5">"CSTRAP"&amp;M92</f>
        <v>CSTRAPDK2DHF</v>
      </c>
      <c r="D92" s="64" t="str">
        <f t="shared" ref="D92" si="6">"Transport technology by ship from "&amp;LEFT(M92,3)&amp;" to "&amp;RIGHT(M92,3)</f>
        <v>Transport technology by ship from DK2 to DHF</v>
      </c>
      <c r="E92" s="118" t="s">
        <v>157</v>
      </c>
      <c r="F92" s="119" t="s">
        <v>381</v>
      </c>
      <c r="M92" s="197" t="str">
        <f t="shared" si="4"/>
        <v>DK2DHF</v>
      </c>
    </row>
    <row r="93" spans="1:17" s="134" customFormat="1">
      <c r="C93" s="134" t="str">
        <f t="shared" si="0"/>
        <v>CSTRAPSE1SFA</v>
      </c>
      <c r="D93" s="64" t="str">
        <f t="shared" si="3"/>
        <v>Transport technology by ship from SE1 to SFA</v>
      </c>
      <c r="E93" s="118" t="s">
        <v>157</v>
      </c>
      <c r="F93" s="119" t="s">
        <v>381</v>
      </c>
      <c r="M93" s="197" t="str">
        <f t="shared" ref="M93:M112" si="7">M64</f>
        <v>SE1SFA</v>
      </c>
    </row>
    <row r="94" spans="1:17" s="134" customFormat="1">
      <c r="C94" s="134" t="str">
        <f t="shared" si="0"/>
        <v>CSTRAPSE1NSF</v>
      </c>
      <c r="D94" s="64" t="str">
        <f t="shared" si="3"/>
        <v>Transport technology by ship from SE1 to NSF</v>
      </c>
      <c r="E94" s="118" t="s">
        <v>157</v>
      </c>
      <c r="F94" s="119" t="s">
        <v>381</v>
      </c>
      <c r="M94" s="197" t="str">
        <f t="shared" si="7"/>
        <v>SE1NSF</v>
      </c>
    </row>
    <row r="95" spans="1:17" s="134" customFormat="1">
      <c r="C95" s="134" t="str">
        <f t="shared" si="0"/>
        <v>CSTRAPSE2SFA</v>
      </c>
      <c r="D95" s="64" t="str">
        <f t="shared" si="3"/>
        <v>Transport technology by ship from SE2 to SFA</v>
      </c>
      <c r="E95" s="118" t="s">
        <v>157</v>
      </c>
      <c r="F95" s="119" t="s">
        <v>381</v>
      </c>
      <c r="M95" s="197" t="str">
        <f t="shared" si="7"/>
        <v>SE2SFA</v>
      </c>
    </row>
    <row r="96" spans="1:17" s="134" customFormat="1">
      <c r="C96" s="134" t="str">
        <f t="shared" si="0"/>
        <v>CSTRAPSE2NSF</v>
      </c>
      <c r="D96" s="64" t="str">
        <f t="shared" si="3"/>
        <v>Transport technology by ship from SE2 to NSF</v>
      </c>
      <c r="E96" s="118" t="s">
        <v>157</v>
      </c>
      <c r="F96" s="119" t="s">
        <v>381</v>
      </c>
      <c r="M96" s="197" t="str">
        <f t="shared" si="7"/>
        <v>SE2NSF</v>
      </c>
    </row>
    <row r="97" spans="1:17" s="134" customFormat="1">
      <c r="C97" s="134" t="str">
        <f t="shared" si="0"/>
        <v>CSTRAPSE3SFA</v>
      </c>
      <c r="D97" s="64" t="str">
        <f t="shared" si="3"/>
        <v>Transport technology by ship from SE3 to SFA</v>
      </c>
      <c r="E97" s="118" t="s">
        <v>157</v>
      </c>
      <c r="F97" s="119" t="s">
        <v>381</v>
      </c>
      <c r="M97" s="197" t="str">
        <f t="shared" si="7"/>
        <v>SE3SFA</v>
      </c>
    </row>
    <row r="98" spans="1:17" s="134" customFormat="1">
      <c r="C98" s="134" t="str">
        <f t="shared" si="0"/>
        <v>CSTRAPSE3SAA</v>
      </c>
      <c r="D98" s="64" t="str">
        <f t="shared" si="3"/>
        <v>Transport technology by ship from SE3 to SAA</v>
      </c>
      <c r="E98" s="118" t="s">
        <v>157</v>
      </c>
      <c r="F98" s="119" t="s">
        <v>381</v>
      </c>
      <c r="M98" s="197" t="str">
        <f t="shared" si="7"/>
        <v>SE3SAA</v>
      </c>
    </row>
    <row r="99" spans="1:17" s="134" customFormat="1">
      <c r="C99" s="134" t="str">
        <f t="shared" si="0"/>
        <v>CSTRAPSE3NSF</v>
      </c>
      <c r="D99" s="64" t="str">
        <f t="shared" si="3"/>
        <v>Transport technology by ship from SE3 to NSF</v>
      </c>
      <c r="E99" s="118" t="s">
        <v>157</v>
      </c>
      <c r="F99" s="119" t="s">
        <v>381</v>
      </c>
      <c r="M99" s="197" t="str">
        <f t="shared" si="7"/>
        <v>SE3NSF</v>
      </c>
    </row>
    <row r="100" spans="1:17" s="134" customFormat="1">
      <c r="C100" s="134" t="str">
        <f t="shared" si="0"/>
        <v>CSTRAPSE4DZS</v>
      </c>
      <c r="D100" s="64" t="str">
        <f t="shared" si="3"/>
        <v>Transport technology by ship from SE4 to DZS</v>
      </c>
      <c r="E100" s="118" t="s">
        <v>157</v>
      </c>
      <c r="F100" s="119" t="s">
        <v>381</v>
      </c>
      <c r="M100" s="197" t="str">
        <f t="shared" si="7"/>
        <v>SE4DZS</v>
      </c>
    </row>
    <row r="101" spans="1:17" s="134" customFormat="1">
      <c r="C101" s="134" t="str">
        <f t="shared" si="0"/>
        <v>CSTRAPSE4NSF</v>
      </c>
      <c r="D101" s="64" t="str">
        <f t="shared" si="3"/>
        <v>Transport technology by ship from SE4 to NSF</v>
      </c>
      <c r="E101" s="118" t="s">
        <v>157</v>
      </c>
      <c r="F101" s="119" t="s">
        <v>381</v>
      </c>
      <c r="M101" s="197" t="str">
        <f t="shared" si="7"/>
        <v>SE4NSF</v>
      </c>
    </row>
    <row r="102" spans="1:17" s="134" customFormat="1">
      <c r="C102" s="134" t="str">
        <f t="shared" si="0"/>
        <v>CSTRAPSE4SAA</v>
      </c>
      <c r="D102" s="64" t="str">
        <f t="shared" si="3"/>
        <v>Transport technology by ship from SE4 to SAA</v>
      </c>
      <c r="E102" s="118" t="s">
        <v>157</v>
      </c>
      <c r="F102" s="119" t="s">
        <v>381</v>
      </c>
      <c r="M102" s="197" t="str">
        <f t="shared" si="7"/>
        <v>SE4SAA</v>
      </c>
    </row>
    <row r="103" spans="1:17" s="134" customFormat="1">
      <c r="C103" s="134" t="str">
        <f t="shared" si="0"/>
        <v>CSTRAPNO1DHS</v>
      </c>
      <c r="D103" s="64" t="str">
        <f t="shared" si="3"/>
        <v>Transport technology by ship from NO1 to DHS</v>
      </c>
      <c r="E103" s="118" t="s">
        <v>157</v>
      </c>
      <c r="F103" s="119" t="s">
        <v>381</v>
      </c>
      <c r="M103" s="197" t="str">
        <f t="shared" si="7"/>
        <v>NO1DHS</v>
      </c>
    </row>
    <row r="104" spans="1:17" s="134" customFormat="1">
      <c r="C104" s="134" t="str">
        <f t="shared" si="0"/>
        <v>CSTRAPNO1DGA</v>
      </c>
      <c r="D104" s="64" t="str">
        <f t="shared" si="3"/>
        <v>Transport technology by ship from NO1 to DGA</v>
      </c>
      <c r="E104" s="118" t="s">
        <v>157</v>
      </c>
      <c r="F104" s="119" t="s">
        <v>381</v>
      </c>
      <c r="M104" s="197" t="str">
        <f t="shared" si="7"/>
        <v>NO1DGA</v>
      </c>
    </row>
    <row r="105" spans="1:17" s="134" customFormat="1">
      <c r="C105" s="134" t="str">
        <f t="shared" si="0"/>
        <v>CSTRAPNO1NSF</v>
      </c>
      <c r="D105" s="64" t="str">
        <f t="shared" si="3"/>
        <v>Transport technology by ship from NO1 to NSF</v>
      </c>
      <c r="E105" s="118" t="s">
        <v>157</v>
      </c>
      <c r="F105" s="119" t="s">
        <v>381</v>
      </c>
      <c r="M105" s="197" t="str">
        <f t="shared" si="7"/>
        <v>NO1NSF</v>
      </c>
    </row>
    <row r="106" spans="1:17" s="134" customFormat="1">
      <c r="C106" s="134" t="str">
        <f t="shared" si="0"/>
        <v>CSTRAPNO2NSA</v>
      </c>
      <c r="D106" s="64" t="str">
        <f t="shared" si="3"/>
        <v>Transport technology by ship from NO2 to NSA</v>
      </c>
      <c r="E106" s="118" t="s">
        <v>157</v>
      </c>
      <c r="F106" s="119" t="s">
        <v>381</v>
      </c>
      <c r="M106" s="197" t="str">
        <f t="shared" si="7"/>
        <v>NO2NSA</v>
      </c>
    </row>
    <row r="107" spans="1:17" s="134" customFormat="1">
      <c r="C107" s="134" t="str">
        <f t="shared" si="0"/>
        <v>CSTRAPNO2NMF</v>
      </c>
      <c r="D107" s="64" t="str">
        <f t="shared" si="3"/>
        <v>Transport technology by ship from NO2 to NMF</v>
      </c>
      <c r="E107" s="118" t="s">
        <v>157</v>
      </c>
      <c r="F107" s="119" t="s">
        <v>381</v>
      </c>
      <c r="M107" s="197" t="str">
        <f t="shared" si="7"/>
        <v>NO2NMF</v>
      </c>
    </row>
    <row r="108" spans="1:17" s="134" customFormat="1">
      <c r="C108" s="134" t="str">
        <f t="shared" si="0"/>
        <v>CSTRAPNO2NSF</v>
      </c>
      <c r="D108" s="64" t="str">
        <f t="shared" si="3"/>
        <v>Transport technology by ship from NO2 to NSF</v>
      </c>
      <c r="E108" s="118" t="s">
        <v>157</v>
      </c>
      <c r="F108" s="119" t="s">
        <v>381</v>
      </c>
      <c r="M108" s="197" t="str">
        <f t="shared" si="7"/>
        <v>NO2NSF</v>
      </c>
    </row>
    <row r="109" spans="1:17" s="134" customFormat="1">
      <c r="C109" s="134" t="str">
        <f t="shared" si="0"/>
        <v>CSTRAPNO5NGA</v>
      </c>
      <c r="D109" s="64" t="str">
        <f t="shared" si="3"/>
        <v>Transport technology by ship from NO5 to NGA</v>
      </c>
      <c r="E109" s="118" t="s">
        <v>157</v>
      </c>
      <c r="F109" s="119" t="s">
        <v>381</v>
      </c>
      <c r="M109" s="197" t="str">
        <f t="shared" si="7"/>
        <v>NO5NGA</v>
      </c>
    </row>
    <row r="110" spans="1:17" s="134" customFormat="1">
      <c r="A110" s="109"/>
      <c r="B110" s="82"/>
      <c r="C110" s="134" t="str">
        <f t="shared" si="0"/>
        <v>CSTRAPNO5NSA</v>
      </c>
      <c r="D110" s="64" t="str">
        <f t="shared" si="3"/>
        <v>Transport technology by ship from NO5 to NSA</v>
      </c>
      <c r="E110" s="118" t="s">
        <v>157</v>
      </c>
      <c r="F110" s="119" t="s">
        <v>381</v>
      </c>
      <c r="G110" s="110"/>
      <c r="H110" s="110"/>
      <c r="I110" s="196"/>
      <c r="J110" s="109"/>
      <c r="L110" s="109"/>
      <c r="M110" s="197" t="str">
        <f t="shared" si="7"/>
        <v>NO5NSA</v>
      </c>
      <c r="N110" s="109"/>
      <c r="P110" s="115"/>
      <c r="Q110" s="115"/>
    </row>
    <row r="111" spans="1:17" s="134" customFormat="1">
      <c r="A111" s="109"/>
      <c r="B111" s="82"/>
      <c r="C111" s="134" t="str">
        <f t="shared" si="0"/>
        <v>CSTRAPNO5NSF</v>
      </c>
      <c r="D111" s="64" t="str">
        <f t="shared" si="3"/>
        <v>Transport technology by ship from NO5 to NSF</v>
      </c>
      <c r="E111" s="118" t="s">
        <v>157</v>
      </c>
      <c r="F111" s="119" t="s">
        <v>381</v>
      </c>
      <c r="G111" s="110"/>
      <c r="H111" s="110"/>
      <c r="I111" s="196"/>
      <c r="J111" s="109"/>
      <c r="L111" s="109"/>
      <c r="M111" s="197" t="str">
        <f t="shared" si="7"/>
        <v>NO5NSF</v>
      </c>
      <c r="N111" s="109"/>
      <c r="P111" s="115"/>
      <c r="Q111" s="115"/>
    </row>
    <row r="112" spans="1:17" s="134" customFormat="1">
      <c r="A112" s="109"/>
      <c r="B112" s="82"/>
      <c r="C112" s="134" t="str">
        <f>"CSTRAP"&amp;M112</f>
        <v>CSTRAPNO5NMF</v>
      </c>
      <c r="D112" s="64" t="str">
        <f t="shared" si="3"/>
        <v>Transport technology by ship from NO5 to NMF</v>
      </c>
      <c r="E112" s="118" t="s">
        <v>157</v>
      </c>
      <c r="F112" s="119" t="s">
        <v>381</v>
      </c>
      <c r="G112" s="110"/>
      <c r="H112" s="110"/>
      <c r="I112" s="196"/>
      <c r="J112" s="109"/>
      <c r="L112" s="109"/>
      <c r="M112" s="197" t="str">
        <f t="shared" si="7"/>
        <v>NO5NMF</v>
      </c>
      <c r="N112" s="109"/>
      <c r="P112" s="115"/>
      <c r="Q112" s="115"/>
    </row>
    <row r="113" spans="1:17" s="134" customFormat="1">
      <c r="A113" s="109"/>
      <c r="B113" s="82"/>
      <c r="C113" s="134" t="str">
        <f>"CSTRAP"&amp;M113</f>
        <v>CSTRAPISLISL</v>
      </c>
      <c r="D113" s="64" t="str">
        <f>"Transport technology from "&amp;LEFT(M113,3)&amp;" to "&amp;RIGHT(M113,3)</f>
        <v>Transport technology from ISL to ISL</v>
      </c>
      <c r="E113" s="118" t="s">
        <v>157</v>
      </c>
      <c r="F113" s="119" t="s">
        <v>381</v>
      </c>
      <c r="G113" s="110"/>
      <c r="H113" s="110"/>
      <c r="I113" s="196"/>
      <c r="J113" s="109"/>
      <c r="L113" s="109"/>
      <c r="M113" s="197" t="s">
        <v>896</v>
      </c>
      <c r="N113" s="109"/>
      <c r="P113" s="115"/>
      <c r="Q113" s="115"/>
    </row>
    <row r="114" spans="1:17" s="134" customFormat="1">
      <c r="A114" s="109"/>
      <c r="B114" s="132"/>
      <c r="C114" s="133" t="str">
        <f>ELC_CCS_STO!B6</f>
        <v>CSSTODTS</v>
      </c>
      <c r="D114" s="133" t="str">
        <f>ELC_CCS_STO!C6</f>
        <v>CO2 storage - Thisted structure</v>
      </c>
      <c r="E114" s="74" t="s">
        <v>157</v>
      </c>
      <c r="F114" s="74" t="s">
        <v>381</v>
      </c>
      <c r="G114" s="198"/>
      <c r="H114" s="198"/>
      <c r="I114" s="73"/>
      <c r="J114" s="109"/>
      <c r="L114" s="109"/>
      <c r="M114" s="109"/>
      <c r="N114" s="109"/>
      <c r="P114" s="115"/>
      <c r="Q114" s="115"/>
    </row>
    <row r="115" spans="1:17" s="134" customFormat="1">
      <c r="A115" s="109"/>
      <c r="C115" s="64" t="str">
        <f>ELC_CCS_STO!B7</f>
        <v>CSSTODGS</v>
      </c>
      <c r="D115" s="64" t="str">
        <f>ELC_CCS_STO!C7</f>
        <v>CO2 storage - Gassum structure</v>
      </c>
      <c r="E115" s="134" t="s">
        <v>157</v>
      </c>
      <c r="F115" s="134" t="s">
        <v>381</v>
      </c>
      <c r="J115" s="109"/>
      <c r="L115" s="109"/>
      <c r="M115" s="109"/>
      <c r="N115" s="109"/>
      <c r="P115" s="115"/>
      <c r="Q115" s="115"/>
    </row>
    <row r="116" spans="1:17" s="134" customFormat="1">
      <c r="A116" s="109"/>
      <c r="C116" s="64" t="str">
        <f>ELC_CCS_STO!B8</f>
        <v>CSSTODGA</v>
      </c>
      <c r="D116" s="64" t="str">
        <f>ELC_CCS_STO!C8</f>
        <v>CO2 storage - Gassum Aquifer</v>
      </c>
      <c r="E116" s="134" t="s">
        <v>157</v>
      </c>
      <c r="F116" s="134" t="s">
        <v>381</v>
      </c>
      <c r="J116" s="109"/>
      <c r="L116" s="109"/>
      <c r="M116" s="109"/>
      <c r="N116" s="109"/>
      <c r="P116" s="115"/>
      <c r="Q116" s="115"/>
    </row>
    <row r="117" spans="1:17" s="134" customFormat="1">
      <c r="A117" s="109"/>
      <c r="C117" s="64" t="str">
        <f>ELC_CCS_STO!B9</f>
        <v>CSSTONSF</v>
      </c>
      <c r="D117" s="64" t="str">
        <f>ELC_CCS_STO!C9</f>
        <v>CO2 storage - Norway southern hydrocarbon fields</v>
      </c>
      <c r="E117" s="134" t="s">
        <v>157</v>
      </c>
      <c r="F117" s="134" t="s">
        <v>381</v>
      </c>
      <c r="J117" s="109"/>
      <c r="L117" s="109"/>
      <c r="M117" s="109"/>
      <c r="N117" s="109"/>
      <c r="P117" s="115"/>
      <c r="Q117" s="115"/>
    </row>
    <row r="118" spans="1:17" s="106" customFormat="1">
      <c r="A118" s="109"/>
      <c r="C118" s="64" t="str">
        <f>ELC_CCS_STO!B10</f>
        <v>CSSTODZS</v>
      </c>
      <c r="D118" s="64" t="str">
        <f>ELC_CCS_STO!C10</f>
        <v>CO2 storage - Accumulated West/Southern Zealand (Havnsø, Stenlille, Rødby)</v>
      </c>
      <c r="E118" s="134" t="s">
        <v>157</v>
      </c>
      <c r="F118" s="134" t="s">
        <v>381</v>
      </c>
      <c r="J118" s="109"/>
      <c r="L118" s="109"/>
      <c r="M118" s="109"/>
      <c r="N118" s="109"/>
      <c r="P118" s="112"/>
      <c r="Q118" s="112"/>
    </row>
    <row r="119" spans="1:17" s="106" customFormat="1">
      <c r="A119" s="109"/>
      <c r="C119" s="64" t="str">
        <f>ELC_CCS_STO!B11</f>
        <v>CSSTOSAA</v>
      </c>
      <c r="D119" s="64" t="str">
        <f>ELC_CCS_STO!C11</f>
        <v>CO2 storage - Anager Greensand + Höganäs - Rya storage unit</v>
      </c>
      <c r="E119" s="134" t="s">
        <v>157</v>
      </c>
      <c r="F119" s="134" t="s">
        <v>381</v>
      </c>
      <c r="J119" s="109"/>
      <c r="L119" s="109"/>
      <c r="M119" s="109"/>
      <c r="N119" s="109"/>
      <c r="O119" s="115"/>
      <c r="P119" s="115"/>
      <c r="Q119" s="115"/>
    </row>
    <row r="120" spans="1:17" s="106" customFormat="1">
      <c r="A120" s="109"/>
      <c r="C120" s="64" t="str">
        <f>ELC_CCS_STO!B12</f>
        <v>CSSTOSFA</v>
      </c>
      <c r="D120" s="64" t="str">
        <f>ELC_CCS_STO!C12</f>
        <v>CO2 storage - Faludden</v>
      </c>
      <c r="E120" s="134" t="s">
        <v>157</v>
      </c>
      <c r="F120" s="134" t="s">
        <v>381</v>
      </c>
      <c r="J120" s="109"/>
      <c r="L120" s="109"/>
      <c r="M120" s="109"/>
      <c r="N120" s="109"/>
      <c r="O120" s="115"/>
      <c r="P120" s="115"/>
      <c r="Q120" s="115"/>
    </row>
    <row r="121" spans="1:17" s="106" customFormat="1">
      <c r="A121" s="109"/>
      <c r="C121" s="64" t="str">
        <f>ELC_CCS_STO!B13</f>
        <v>CSSTODHS</v>
      </c>
      <c r="D121" s="64" t="str">
        <f>ELC_CCS_STO!C13</f>
        <v>CO2 storage - Hanstholm structure</v>
      </c>
      <c r="E121" s="134" t="s">
        <v>157</v>
      </c>
      <c r="F121" s="134" t="s">
        <v>381</v>
      </c>
      <c r="J121" s="109"/>
      <c r="L121" s="109"/>
      <c r="M121" s="109"/>
      <c r="N121" s="109"/>
      <c r="O121" s="115"/>
      <c r="P121" s="115"/>
      <c r="Q121" s="115"/>
    </row>
    <row r="122" spans="1:17" s="106" customFormat="1">
      <c r="A122" s="109"/>
      <c r="C122" s="64" t="str">
        <f>ELC_CCS_STO!B14</f>
        <v>CSSTONSA</v>
      </c>
      <c r="D122" s="64" t="str">
        <f>ELC_CCS_STO!C14</f>
        <v>CO2 storage - Norway South accumulated (Heimdal, Frigg, Krossfjord, Flensfjord, Johannes, Skade, Sognefjord, Statfjord)</v>
      </c>
      <c r="E122" s="134" t="s">
        <v>157</v>
      </c>
      <c r="F122" s="134" t="s">
        <v>381</v>
      </c>
      <c r="J122" s="109"/>
      <c r="L122" s="109"/>
      <c r="M122" s="109"/>
      <c r="N122" s="109"/>
    </row>
    <row r="123" spans="1:17" s="106" customFormat="1">
      <c r="A123" s="109"/>
      <c r="C123" s="64" t="str">
        <f>ELC_CCS_STO!B15</f>
        <v>CSSTONMF</v>
      </c>
      <c r="D123" s="64" t="str">
        <f>ELC_CCS_STO!C15</f>
        <v>CO2 storage - Norway middle hydrocarbon fields</v>
      </c>
      <c r="E123" s="134" t="s">
        <v>157</v>
      </c>
      <c r="F123" s="134" t="s">
        <v>381</v>
      </c>
      <c r="J123" s="109"/>
      <c r="L123" s="109"/>
      <c r="M123" s="109"/>
      <c r="N123" s="109"/>
    </row>
    <row r="124" spans="1:17">
      <c r="A124" s="36"/>
      <c r="C124" s="64" t="str">
        <f>ELC_CCS_STO!B16</f>
        <v>CSSTONGA</v>
      </c>
      <c r="D124" s="64" t="str">
        <f>ELC_CCS_STO!C16</f>
        <v>CO2 storage - Gran formation</v>
      </c>
      <c r="E124" s="134" t="s">
        <v>157</v>
      </c>
      <c r="F124" s="134" t="s">
        <v>381</v>
      </c>
      <c r="J124" s="36"/>
      <c r="L124" s="36"/>
      <c r="M124" s="36"/>
      <c r="N124" s="36"/>
    </row>
    <row r="125" spans="1:17" s="134" customFormat="1">
      <c r="A125" s="109"/>
      <c r="B125" s="58"/>
      <c r="C125" s="58" t="str">
        <f>ELC_CCS_STO!B17</f>
        <v>CSSTODHF</v>
      </c>
      <c r="D125" s="58" t="str">
        <f>ELC_CCS_STO!C17</f>
        <v>CO2 storage - Danish hydrocarbon fields</v>
      </c>
      <c r="E125" s="58" t="s">
        <v>157</v>
      </c>
      <c r="F125" s="58" t="s">
        <v>381</v>
      </c>
      <c r="G125" s="58"/>
      <c r="H125" s="58"/>
      <c r="I125" s="58"/>
      <c r="J125" s="109"/>
      <c r="L125" s="109"/>
      <c r="M125" s="109"/>
      <c r="N125" s="109"/>
    </row>
    <row r="126" spans="1:17" s="134" customFormat="1">
      <c r="A126" s="109"/>
      <c r="B126" s="58"/>
      <c r="C126" s="58" t="str">
        <f>ELC_CCS_STO!B18</f>
        <v>CSSTOISL</v>
      </c>
      <c r="D126" s="58" t="str">
        <f>ELC_CCS_STO!C18</f>
        <v>CO2 storage - Islandic basalt storage</v>
      </c>
      <c r="E126" s="58" t="s">
        <v>157</v>
      </c>
      <c r="F126" s="58" t="s">
        <v>381</v>
      </c>
      <c r="G126" s="58"/>
      <c r="H126" s="58"/>
      <c r="I126" s="58"/>
      <c r="J126" s="109"/>
      <c r="L126" s="109"/>
      <c r="M126" s="109"/>
      <c r="N126" s="109"/>
    </row>
    <row r="127" spans="1:17">
      <c r="B127" s="134"/>
      <c r="C127" s="134" t="str">
        <f>SUP_FT_Process!B6</f>
        <v>FT-CO2CCX</v>
      </c>
      <c r="D127" s="134" t="s">
        <v>889</v>
      </c>
      <c r="E127" s="58" t="s">
        <v>157</v>
      </c>
      <c r="F127" s="58" t="s">
        <v>381</v>
      </c>
      <c r="G127" s="134"/>
      <c r="H127" s="134"/>
      <c r="I127" s="134"/>
    </row>
    <row r="128" spans="1:17" s="134" customFormat="1"/>
    <row r="133" spans="1:14" s="49" customFormat="1">
      <c r="A133" s="36"/>
      <c r="B133" s="82"/>
      <c r="C133" s="92"/>
      <c r="D133" s="134"/>
      <c r="E133" s="101"/>
      <c r="F133" s="104"/>
      <c r="G133" s="103"/>
      <c r="H133" s="103"/>
      <c r="I133" s="100"/>
      <c r="J133" s="36"/>
      <c r="L133" s="36"/>
      <c r="M133" s="36"/>
      <c r="N133" s="36"/>
    </row>
    <row r="134" spans="1:14" s="49" customFormat="1">
      <c r="A134" s="36"/>
      <c r="B134" s="82"/>
      <c r="C134" s="92"/>
      <c r="D134" s="134"/>
      <c r="E134" s="101"/>
      <c r="F134" s="104"/>
      <c r="G134" s="103"/>
      <c r="H134" s="103"/>
      <c r="I134" s="100"/>
      <c r="J134" s="36"/>
      <c r="L134" s="36"/>
      <c r="M134" s="36"/>
      <c r="N134" s="36"/>
    </row>
    <row r="144" spans="1:14">
      <c r="B144" s="82"/>
      <c r="D144" s="64"/>
      <c r="E144" s="119"/>
      <c r="F144" s="119"/>
      <c r="G144" s="110"/>
      <c r="H144" s="110"/>
      <c r="I144" s="196"/>
    </row>
    <row r="145" spans="2:9">
      <c r="B145" s="82"/>
      <c r="D145" s="64"/>
      <c r="E145" s="119"/>
      <c r="F145" s="119"/>
      <c r="G145" s="110"/>
      <c r="H145" s="110"/>
      <c r="I145" s="196"/>
    </row>
    <row r="146" spans="2:9">
      <c r="B146" s="82"/>
      <c r="D146" s="64"/>
      <c r="E146" s="119"/>
      <c r="F146" s="119"/>
      <c r="G146" s="110"/>
      <c r="H146" s="110"/>
      <c r="I146" s="196"/>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652C1-486A-4F79-AE68-442DDE7A2273}">
  <sheetPr>
    <tabColor rgb="FF92D050"/>
  </sheetPr>
  <dimension ref="B2:H11"/>
  <sheetViews>
    <sheetView tabSelected="1" workbookViewId="0">
      <selection activeCell="F15" sqref="F15"/>
    </sheetView>
  </sheetViews>
  <sheetFormatPr defaultColWidth="8.88671875" defaultRowHeight="14.4"/>
  <cols>
    <col min="1" max="16384" width="8.88671875" style="134"/>
  </cols>
  <sheetData>
    <row r="2" spans="2:8">
      <c r="C2" s="345"/>
      <c r="D2" s="345"/>
      <c r="E2" s="346" t="s">
        <v>0</v>
      </c>
      <c r="F2" s="345"/>
    </row>
    <row r="3" spans="2:8" ht="27.6">
      <c r="B3" s="315" t="s">
        <v>1</v>
      </c>
      <c r="C3" s="315" t="s">
        <v>2</v>
      </c>
      <c r="D3" s="315" t="s">
        <v>3</v>
      </c>
      <c r="E3" s="347" t="s">
        <v>4</v>
      </c>
      <c r="F3" s="312" t="s">
        <v>7</v>
      </c>
      <c r="G3" s="312" t="s">
        <v>898</v>
      </c>
      <c r="H3" s="312"/>
    </row>
    <row r="4" spans="2:8" ht="15" thickBot="1">
      <c r="B4" s="348" t="s">
        <v>887</v>
      </c>
      <c r="C4" s="349"/>
      <c r="D4" s="349"/>
      <c r="E4" s="350"/>
      <c r="F4" s="351"/>
      <c r="G4" s="352"/>
      <c r="H4" s="352"/>
    </row>
    <row r="5" spans="2:8" ht="15" thickBot="1">
      <c r="B5" s="353" t="s">
        <v>14</v>
      </c>
      <c r="C5" s="354"/>
      <c r="D5" s="354"/>
      <c r="E5" s="354"/>
      <c r="F5" s="355"/>
    </row>
    <row r="6" spans="2:8">
      <c r="B6" s="134" t="s">
        <v>888</v>
      </c>
      <c r="D6" s="134" t="s">
        <v>879</v>
      </c>
      <c r="E6" s="134" t="s">
        <v>357</v>
      </c>
      <c r="F6" s="134">
        <v>1</v>
      </c>
    </row>
    <row r="7" spans="2:8">
      <c r="D7" s="134" t="s">
        <v>883</v>
      </c>
    </row>
    <row r="8" spans="2:8">
      <c r="D8" s="134" t="s">
        <v>881</v>
      </c>
    </row>
    <row r="9" spans="2:8">
      <c r="D9" s="134" t="s">
        <v>777</v>
      </c>
    </row>
    <row r="10" spans="2:8">
      <c r="D10" s="356" t="s">
        <v>697</v>
      </c>
    </row>
    <row r="11" spans="2:8">
      <c r="D11" s="134" t="s">
        <v>893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03E06-9E61-4B7A-899D-7B157C8D5D88}">
  <sheetPr>
    <tabColor rgb="FF92D050"/>
  </sheetPr>
  <dimension ref="B2:W25"/>
  <sheetViews>
    <sheetView workbookViewId="0">
      <selection activeCell="D21" sqref="D21"/>
    </sheetView>
  </sheetViews>
  <sheetFormatPr defaultColWidth="8.88671875" defaultRowHeight="14.4"/>
  <cols>
    <col min="1" max="1" width="8.88671875" style="134"/>
    <col min="2" max="2" width="13.6640625" style="134" bestFit="1" customWidth="1"/>
    <col min="3" max="3" width="47.44140625" style="134" bestFit="1" customWidth="1"/>
    <col min="4" max="4" width="27.33203125" style="134" bestFit="1" customWidth="1"/>
    <col min="5" max="5" width="8.88671875" style="134"/>
    <col min="6" max="6" width="22.6640625" style="134" bestFit="1" customWidth="1"/>
    <col min="7" max="9" width="8.88671875" style="134"/>
    <col min="10" max="10" width="11" style="134" bestFit="1" customWidth="1"/>
    <col min="11" max="12" width="8.88671875" style="134"/>
    <col min="13" max="13" width="10" style="134" bestFit="1" customWidth="1"/>
    <col min="14" max="14" width="10.5546875" style="134" bestFit="1" customWidth="1"/>
    <col min="15" max="16384" width="8.88671875" style="134"/>
  </cols>
  <sheetData>
    <row r="2" spans="2:23">
      <c r="G2" s="4" t="s">
        <v>0</v>
      </c>
    </row>
    <row r="3" spans="2:23" ht="28.8">
      <c r="B3" s="5" t="s">
        <v>1</v>
      </c>
      <c r="C3" s="5" t="s">
        <v>2</v>
      </c>
      <c r="D3" s="5" t="s">
        <v>3</v>
      </c>
      <c r="E3" s="5" t="s">
        <v>59</v>
      </c>
      <c r="F3" s="249" t="s">
        <v>4</v>
      </c>
      <c r="G3" s="5" t="s">
        <v>5</v>
      </c>
      <c r="H3" s="5" t="s">
        <v>6</v>
      </c>
      <c r="I3" s="5" t="s">
        <v>167</v>
      </c>
      <c r="J3" s="5" t="s">
        <v>7</v>
      </c>
      <c r="K3" s="5" t="s">
        <v>8</v>
      </c>
      <c r="L3" s="5" t="s">
        <v>9</v>
      </c>
      <c r="M3" s="5" t="s">
        <v>10</v>
      </c>
      <c r="N3" s="5" t="s">
        <v>11</v>
      </c>
      <c r="O3" s="5" t="s">
        <v>12</v>
      </c>
      <c r="P3" s="5" t="s">
        <v>171</v>
      </c>
      <c r="Q3" s="5" t="s">
        <v>19</v>
      </c>
      <c r="R3" s="5" t="s">
        <v>172</v>
      </c>
      <c r="U3" s="5" t="s">
        <v>184</v>
      </c>
      <c r="V3" s="5" t="s">
        <v>190</v>
      </c>
      <c r="W3" s="250" t="s">
        <v>693</v>
      </c>
    </row>
    <row r="4" spans="2:23" ht="44.25" customHeight="1">
      <c r="B4" s="7" t="s">
        <v>13</v>
      </c>
      <c r="C4" s="7"/>
      <c r="D4" s="7" t="s">
        <v>67</v>
      </c>
      <c r="E4" s="7" t="s">
        <v>225</v>
      </c>
      <c r="F4" s="251" t="s">
        <v>68</v>
      </c>
      <c r="G4" s="7"/>
      <c r="H4" s="7" t="s">
        <v>66</v>
      </c>
      <c r="I4" s="7" t="s">
        <v>694</v>
      </c>
      <c r="J4" s="7" t="s">
        <v>376</v>
      </c>
      <c r="K4" s="7" t="s">
        <v>63</v>
      </c>
      <c r="L4" s="7" t="s">
        <v>64</v>
      </c>
      <c r="M4" s="7" t="s">
        <v>65</v>
      </c>
      <c r="N4" s="7" t="s">
        <v>60</v>
      </c>
      <c r="O4" s="7" t="s">
        <v>61</v>
      </c>
      <c r="P4" s="7" t="s">
        <v>177</v>
      </c>
      <c r="Q4" s="7" t="s">
        <v>62</v>
      </c>
      <c r="R4" s="7" t="s">
        <v>178</v>
      </c>
      <c r="U4" s="7" t="s">
        <v>185</v>
      </c>
      <c r="V4" s="7" t="s">
        <v>695</v>
      </c>
    </row>
    <row r="5" spans="2:23" ht="15" thickBot="1">
      <c r="B5" s="9" t="s">
        <v>14</v>
      </c>
      <c r="C5" s="10"/>
      <c r="D5" s="10"/>
      <c r="E5" s="10"/>
      <c r="F5" s="81"/>
      <c r="G5" s="10"/>
      <c r="H5" s="10"/>
      <c r="I5" s="10" t="s">
        <v>375</v>
      </c>
      <c r="J5" s="10" t="s">
        <v>377</v>
      </c>
      <c r="K5" s="10" t="s">
        <v>379</v>
      </c>
      <c r="L5" s="10" t="s">
        <v>379</v>
      </c>
      <c r="M5" s="10" t="s">
        <v>378</v>
      </c>
      <c r="N5" s="10" t="s">
        <v>15</v>
      </c>
      <c r="O5" s="10" t="s">
        <v>15</v>
      </c>
      <c r="P5" s="10"/>
      <c r="Q5" s="10" t="s">
        <v>16</v>
      </c>
      <c r="R5" s="10" t="s">
        <v>181</v>
      </c>
      <c r="U5" s="10"/>
      <c r="V5" s="10" t="s">
        <v>375</v>
      </c>
    </row>
    <row r="6" spans="2:23">
      <c r="B6" s="134" t="s">
        <v>892</v>
      </c>
      <c r="C6" s="134" t="s">
        <v>775</v>
      </c>
      <c r="D6" s="134" t="s">
        <v>696</v>
      </c>
      <c r="F6" s="134" t="s">
        <v>697</v>
      </c>
      <c r="G6" s="134">
        <v>2020</v>
      </c>
      <c r="H6" s="134">
        <v>2020</v>
      </c>
      <c r="I6" s="134">
        <f>'403.a Direct air capture'!$B$10*3.6/1000</f>
        <v>1.2600000000000001E-3</v>
      </c>
      <c r="K6" s="134">
        <f>'403.a Direct air capture'!$B$24*7.45*1000/8760</f>
        <v>5.9531963470319633</v>
      </c>
      <c r="L6" s="124">
        <f>'403.a Direct air capture'!$B$27*7.45*1000/8760</f>
        <v>0.29468321917808221</v>
      </c>
      <c r="N6" s="252">
        <v>1</v>
      </c>
      <c r="O6" s="134">
        <v>0.95</v>
      </c>
      <c r="Q6" s="134">
        <f>'403.a Direct air capture'!B21</f>
        <v>20</v>
      </c>
      <c r="R6" s="134">
        <v>1</v>
      </c>
      <c r="W6" s="134" t="s">
        <v>698</v>
      </c>
    </row>
    <row r="7" spans="2:23">
      <c r="D7" s="134" t="s">
        <v>899</v>
      </c>
      <c r="I7" s="134">
        <f>'403.a Direct air capture'!$B$9*3.6/1000</f>
        <v>8.9999999999999993E-3</v>
      </c>
      <c r="U7" s="134" t="s">
        <v>899</v>
      </c>
      <c r="V7" s="134">
        <f>'403.a Direct air capture'!$B$16*3.6/1000</f>
        <v>4.4999999999999997E-3</v>
      </c>
    </row>
    <row r="8" spans="2:23">
      <c r="D8" s="134" t="s">
        <v>696</v>
      </c>
      <c r="F8" s="134" t="s">
        <v>697</v>
      </c>
      <c r="G8" s="134">
        <v>2025</v>
      </c>
      <c r="I8" s="134">
        <f>'403.a Direct air capture'!$C$10*3.6/1000</f>
        <v>1.2600000000000001E-3</v>
      </c>
      <c r="K8" s="134">
        <f>'403.a Direct air capture'!$C$24*7.45*1000/8760</f>
        <v>5.9531963470319633</v>
      </c>
      <c r="L8" s="124">
        <f>'403.a Direct air capture'!$C$27*7.45*1000/8760</f>
        <v>0.29468321917808221</v>
      </c>
      <c r="N8" s="252"/>
      <c r="O8" s="134">
        <v>0.95</v>
      </c>
      <c r="Q8" s="134">
        <v>20</v>
      </c>
      <c r="R8" s="134">
        <v>1</v>
      </c>
    </row>
    <row r="9" spans="2:23">
      <c r="D9" s="134" t="s">
        <v>899</v>
      </c>
      <c r="I9" s="134">
        <f>'403.a Direct air capture'!$C$9*3.6/1000</f>
        <v>8.9999999999999993E-3</v>
      </c>
      <c r="U9" s="134" t="s">
        <v>899</v>
      </c>
      <c r="V9" s="134">
        <f>'403.a Direct air capture'!$C$16*3.6/1000</f>
        <v>4.4999999999999997E-3</v>
      </c>
    </row>
    <row r="10" spans="2:23">
      <c r="D10" s="134" t="s">
        <v>696</v>
      </c>
      <c r="F10" s="134" t="s">
        <v>697</v>
      </c>
      <c r="G10" s="134">
        <v>2030</v>
      </c>
      <c r="I10" s="134">
        <f>'403.a Direct air capture'!$D$10*3.6/1000</f>
        <v>1.152E-3</v>
      </c>
      <c r="K10" s="134">
        <f>'403.a Direct air capture'!$D$24*7.45*1000/8760</f>
        <v>5.102739726027397</v>
      </c>
      <c r="L10" s="124">
        <f>'403.a Direct air capture'!$D$27*7.45*1000/8760</f>
        <v>0.2525856164383562</v>
      </c>
      <c r="O10" s="134">
        <v>0.95</v>
      </c>
      <c r="Q10" s="134">
        <v>20</v>
      </c>
      <c r="R10" s="134">
        <v>1</v>
      </c>
    </row>
    <row r="11" spans="2:23">
      <c r="D11" s="134" t="s">
        <v>899</v>
      </c>
      <c r="I11" s="134">
        <f>'403.a Direct air capture'!$D$9*3.6/1000</f>
        <v>7.1999999999999998E-3</v>
      </c>
      <c r="U11" s="134" t="s">
        <v>899</v>
      </c>
      <c r="V11" s="134">
        <f>'403.a Direct air capture'!$D$16*3.6/1000</f>
        <v>3.5999999999999999E-3</v>
      </c>
    </row>
    <row r="12" spans="2:23">
      <c r="D12" s="134" t="s">
        <v>696</v>
      </c>
      <c r="F12" s="134" t="s">
        <v>697</v>
      </c>
      <c r="G12" s="134">
        <v>2040</v>
      </c>
      <c r="I12" s="134">
        <f>'403.a Direct air capture'!$E$10*3.6/1000</f>
        <v>1.08E-3</v>
      </c>
      <c r="K12" s="134">
        <f>'403.a Direct air capture'!$E$24*7.45*1000/8760</f>
        <v>4.2522831050228307</v>
      </c>
      <c r="L12" s="124">
        <f>'403.a Direct air capture'!$E$27*7.45*1000/8760</f>
        <v>0.21048801369863013</v>
      </c>
      <c r="O12" s="134">
        <v>0.95</v>
      </c>
      <c r="Q12" s="134">
        <v>20</v>
      </c>
      <c r="R12" s="134">
        <v>1</v>
      </c>
    </row>
    <row r="13" spans="2:23">
      <c r="D13" s="134" t="s">
        <v>899</v>
      </c>
      <c r="I13" s="134">
        <f>'403.a Direct air capture'!$E$9*3.6/1000</f>
        <v>5.4000000000000003E-3</v>
      </c>
      <c r="U13" s="134" t="s">
        <v>899</v>
      </c>
      <c r="V13" s="134">
        <f>'403.a Direct air capture'!$E$16*3.6/1000</f>
        <v>2.7000000000000001E-3</v>
      </c>
    </row>
    <row r="14" spans="2:23">
      <c r="D14" s="134" t="s">
        <v>696</v>
      </c>
      <c r="F14" s="134" t="s">
        <v>697</v>
      </c>
      <c r="G14" s="134">
        <v>2050</v>
      </c>
      <c r="I14" s="134">
        <f>'403.a Direct air capture'!$F$10*3.6/1000</f>
        <v>1.0080000000000002E-3</v>
      </c>
      <c r="K14" s="134">
        <f>'403.a Direct air capture'!$F$24*7.45*1000/8760</f>
        <v>3.4018264840182648</v>
      </c>
      <c r="L14" s="124">
        <f>'403.a Direct air capture'!$F$27*7.45*1000/8760</f>
        <v>0.16839041095890411</v>
      </c>
      <c r="O14" s="134">
        <v>0.95</v>
      </c>
      <c r="Q14" s="134">
        <v>20</v>
      </c>
      <c r="R14" s="134">
        <v>1</v>
      </c>
    </row>
    <row r="15" spans="2:23">
      <c r="B15" s="58"/>
      <c r="C15" s="58"/>
      <c r="D15" s="58" t="s">
        <v>899</v>
      </c>
      <c r="F15" s="58"/>
      <c r="G15" s="58"/>
      <c r="H15" s="58"/>
      <c r="I15" s="58">
        <f>'403.a Direct air capture'!$F$9*3.6/1000</f>
        <v>5.4000000000000003E-3</v>
      </c>
      <c r="J15" s="58"/>
      <c r="K15" s="58"/>
      <c r="L15" s="58"/>
      <c r="M15" s="58"/>
      <c r="N15" s="58"/>
      <c r="O15" s="58"/>
      <c r="P15" s="58"/>
      <c r="Q15" s="58"/>
      <c r="R15" s="58"/>
      <c r="U15" s="58" t="s">
        <v>899</v>
      </c>
      <c r="V15" s="58">
        <f>'403.a Direct air capture'!$F$16*3.6/1000</f>
        <v>2.7000000000000001E-3</v>
      </c>
    </row>
    <row r="16" spans="2:23">
      <c r="B16" s="134" t="s">
        <v>891</v>
      </c>
      <c r="C16" s="134" t="s">
        <v>776</v>
      </c>
      <c r="D16" s="134" t="str">
        <f>D6</f>
        <v>SUPELC</v>
      </c>
      <c r="F16" s="134" t="str">
        <f>F6</f>
        <v>CO2DAC</v>
      </c>
      <c r="G16" s="134">
        <f>G6</f>
        <v>2020</v>
      </c>
      <c r="H16" s="134">
        <f>H6</f>
        <v>2020</v>
      </c>
      <c r="I16" s="134">
        <f>I6</f>
        <v>1.2600000000000001E-3</v>
      </c>
      <c r="K16" s="134">
        <f>K6</f>
        <v>5.9531963470319633</v>
      </c>
      <c r="L16" s="134">
        <f>L6</f>
        <v>0.29468321917808221</v>
      </c>
      <c r="N16" s="252">
        <v>1</v>
      </c>
      <c r="O16" s="134">
        <f>O6</f>
        <v>0.95</v>
      </c>
      <c r="Q16" s="134">
        <f>Q6</f>
        <v>20</v>
      </c>
      <c r="R16" s="134">
        <f>R6</f>
        <v>1</v>
      </c>
      <c r="W16" s="134" t="s">
        <v>698</v>
      </c>
    </row>
    <row r="17" spans="4:22">
      <c r="D17" s="134" t="s">
        <v>699</v>
      </c>
      <c r="I17" s="134">
        <f t="shared" ref="I17:I25" si="0">I7</f>
        <v>8.9999999999999993E-3</v>
      </c>
      <c r="U17" s="134" t="s">
        <v>699</v>
      </c>
      <c r="V17" s="134">
        <f>V7</f>
        <v>4.4999999999999997E-3</v>
      </c>
    </row>
    <row r="18" spans="4:22">
      <c r="D18" s="134" t="str">
        <f>D8</f>
        <v>SUPELC</v>
      </c>
      <c r="F18" s="134" t="str">
        <f>F8</f>
        <v>CO2DAC</v>
      </c>
      <c r="G18" s="134">
        <f>G8</f>
        <v>2025</v>
      </c>
      <c r="I18" s="134">
        <f t="shared" si="0"/>
        <v>1.2600000000000001E-3</v>
      </c>
      <c r="K18" s="134">
        <f>K8</f>
        <v>5.9531963470319633</v>
      </c>
      <c r="L18" s="134">
        <f>L8</f>
        <v>0.29468321917808221</v>
      </c>
      <c r="O18" s="134">
        <f>O8</f>
        <v>0.95</v>
      </c>
      <c r="Q18" s="134">
        <f>Q8</f>
        <v>20</v>
      </c>
      <c r="R18" s="134">
        <f>R8</f>
        <v>1</v>
      </c>
    </row>
    <row r="19" spans="4:22">
      <c r="D19" s="134" t="s">
        <v>699</v>
      </c>
      <c r="I19" s="134">
        <f t="shared" si="0"/>
        <v>8.9999999999999993E-3</v>
      </c>
      <c r="U19" s="134" t="s">
        <v>699</v>
      </c>
      <c r="V19" s="134">
        <f>V9</f>
        <v>4.4999999999999997E-3</v>
      </c>
    </row>
    <row r="20" spans="4:22">
      <c r="D20" s="134" t="str">
        <f>D10</f>
        <v>SUPELC</v>
      </c>
      <c r="F20" s="134" t="str">
        <f>F10</f>
        <v>CO2DAC</v>
      </c>
      <c r="G20" s="134">
        <f>G10</f>
        <v>2030</v>
      </c>
      <c r="I20" s="134">
        <f t="shared" si="0"/>
        <v>1.152E-3</v>
      </c>
      <c r="K20" s="134">
        <f>K10</f>
        <v>5.102739726027397</v>
      </c>
      <c r="L20" s="134">
        <f>L10</f>
        <v>0.2525856164383562</v>
      </c>
      <c r="O20" s="134">
        <f>O10</f>
        <v>0.95</v>
      </c>
      <c r="Q20" s="134">
        <f>Q10</f>
        <v>20</v>
      </c>
      <c r="R20" s="134">
        <f>R10</f>
        <v>1</v>
      </c>
    </row>
    <row r="21" spans="4:22">
      <c r="D21" s="134" t="s">
        <v>699</v>
      </c>
      <c r="I21" s="134">
        <f t="shared" si="0"/>
        <v>7.1999999999999998E-3</v>
      </c>
      <c r="U21" s="134" t="s">
        <v>699</v>
      </c>
      <c r="V21" s="134">
        <f>V11</f>
        <v>3.5999999999999999E-3</v>
      </c>
    </row>
    <row r="22" spans="4:22">
      <c r="D22" s="134" t="str">
        <f>D12</f>
        <v>SUPELC</v>
      </c>
      <c r="F22" s="134" t="str">
        <f>F12</f>
        <v>CO2DAC</v>
      </c>
      <c r="G22" s="134">
        <f>G12</f>
        <v>2040</v>
      </c>
      <c r="I22" s="134">
        <f t="shared" si="0"/>
        <v>1.08E-3</v>
      </c>
      <c r="K22" s="134">
        <f>K12</f>
        <v>4.2522831050228307</v>
      </c>
      <c r="L22" s="134">
        <f>L12</f>
        <v>0.21048801369863013</v>
      </c>
      <c r="O22" s="134">
        <f>O12</f>
        <v>0.95</v>
      </c>
      <c r="Q22" s="134">
        <f>Q12</f>
        <v>20</v>
      </c>
      <c r="R22" s="134">
        <f>R12</f>
        <v>1</v>
      </c>
    </row>
    <row r="23" spans="4:22">
      <c r="D23" s="134" t="s">
        <v>699</v>
      </c>
      <c r="I23" s="134">
        <f t="shared" si="0"/>
        <v>5.4000000000000003E-3</v>
      </c>
      <c r="U23" s="134" t="s">
        <v>699</v>
      </c>
      <c r="V23" s="134">
        <f>V13</f>
        <v>2.7000000000000001E-3</v>
      </c>
    </row>
    <row r="24" spans="4:22">
      <c r="D24" s="134" t="str">
        <f>D14</f>
        <v>SUPELC</v>
      </c>
      <c r="F24" s="134" t="str">
        <f>F14</f>
        <v>CO2DAC</v>
      </c>
      <c r="G24" s="134">
        <f>G14</f>
        <v>2050</v>
      </c>
      <c r="I24" s="134">
        <f t="shared" si="0"/>
        <v>1.0080000000000002E-3</v>
      </c>
      <c r="K24" s="134">
        <f>K14</f>
        <v>3.4018264840182648</v>
      </c>
      <c r="L24" s="134">
        <f>L14</f>
        <v>0.16839041095890411</v>
      </c>
      <c r="O24" s="134">
        <f>O14</f>
        <v>0.95</v>
      </c>
      <c r="Q24" s="134">
        <f>Q14</f>
        <v>20</v>
      </c>
      <c r="R24" s="134">
        <f>R14</f>
        <v>1</v>
      </c>
    </row>
    <row r="25" spans="4:22">
      <c r="D25" s="134" t="s">
        <v>699</v>
      </c>
      <c r="I25" s="134">
        <f t="shared" si="0"/>
        <v>5.4000000000000003E-3</v>
      </c>
      <c r="U25" s="134" t="s">
        <v>699</v>
      </c>
      <c r="V25" s="134">
        <f>V15</f>
        <v>2.7000000000000001E-3</v>
      </c>
    </row>
  </sheetData>
  <pageMargins left="0.7" right="0.7" top="0.75" bottom="0.75" header="0.3" footer="0.3"/>
  <pageSetup orientation="portrait" horizontalDpi="1200" verticalDpi="120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B2:V30"/>
  <sheetViews>
    <sheetView zoomScale="85" zoomScaleNormal="85" workbookViewId="0">
      <selection activeCell="F12" sqref="F12"/>
    </sheetView>
  </sheetViews>
  <sheetFormatPr defaultRowHeight="14.4"/>
  <cols>
    <col min="2" max="2" width="32.88671875" customWidth="1"/>
    <col min="3" max="3" width="47.44140625" bestFit="1" customWidth="1"/>
    <col min="4" max="4" width="27.33203125" bestFit="1" customWidth="1"/>
    <col min="5" max="5" width="21.5546875" customWidth="1"/>
    <col min="6" max="6" width="22.6640625" bestFit="1" customWidth="1"/>
    <col min="10" max="10" width="17.6640625" customWidth="1"/>
    <col min="11" max="11" width="24" customWidth="1"/>
    <col min="15" max="15" width="10" bestFit="1" customWidth="1"/>
    <col min="23" max="23" width="21.109375" customWidth="1"/>
  </cols>
  <sheetData>
    <row r="2" spans="2:22">
      <c r="B2" s="114"/>
      <c r="C2" s="114"/>
      <c r="D2" s="114"/>
      <c r="E2" s="114"/>
      <c r="F2" s="114"/>
      <c r="H2" s="4"/>
      <c r="I2" s="114"/>
      <c r="J2" s="114"/>
      <c r="K2" s="114"/>
      <c r="L2" s="114"/>
      <c r="M2" s="114"/>
      <c r="N2" s="114"/>
      <c r="O2" s="114"/>
      <c r="P2" s="114"/>
      <c r="Q2" s="114"/>
      <c r="R2" s="114"/>
      <c r="S2" s="114"/>
      <c r="T2" s="114"/>
      <c r="U2" s="114"/>
      <c r="V2" s="94"/>
    </row>
    <row r="3" spans="2:22">
      <c r="B3" s="5" t="s">
        <v>1</v>
      </c>
      <c r="C3" s="5" t="s">
        <v>2</v>
      </c>
      <c r="D3" s="5" t="s">
        <v>3</v>
      </c>
      <c r="E3" s="5" t="s">
        <v>59</v>
      </c>
      <c r="F3" s="6" t="s">
        <v>4</v>
      </c>
      <c r="G3" s="6" t="s">
        <v>681</v>
      </c>
      <c r="H3" s="5" t="s">
        <v>5</v>
      </c>
      <c r="I3" s="5" t="s">
        <v>6</v>
      </c>
      <c r="J3" s="5" t="s">
        <v>167</v>
      </c>
      <c r="K3" s="5" t="s">
        <v>7</v>
      </c>
      <c r="L3" s="5" t="s">
        <v>190</v>
      </c>
      <c r="M3" s="5" t="s">
        <v>8</v>
      </c>
      <c r="N3" s="5" t="s">
        <v>9</v>
      </c>
      <c r="O3" s="5" t="s">
        <v>10</v>
      </c>
      <c r="P3" s="5" t="s">
        <v>11</v>
      </c>
      <c r="Q3" s="5" t="s">
        <v>12</v>
      </c>
      <c r="R3" s="5" t="s">
        <v>171</v>
      </c>
      <c r="S3" s="5" t="s">
        <v>19</v>
      </c>
      <c r="T3" s="5" t="s">
        <v>172</v>
      </c>
    </row>
    <row r="4" spans="2:22" ht="44.25" customHeight="1">
      <c r="B4" s="7" t="s">
        <v>13</v>
      </c>
      <c r="C4" s="7"/>
      <c r="D4" s="7" t="s">
        <v>67</v>
      </c>
      <c r="E4" s="7" t="s">
        <v>225</v>
      </c>
      <c r="F4" s="8" t="s">
        <v>68</v>
      </c>
      <c r="G4" s="7"/>
      <c r="H4" s="7"/>
      <c r="I4" s="7" t="s">
        <v>66</v>
      </c>
      <c r="J4" s="7" t="s">
        <v>173</v>
      </c>
      <c r="K4" s="7" t="s">
        <v>376</v>
      </c>
      <c r="L4" s="7" t="s">
        <v>187</v>
      </c>
      <c r="M4" s="7" t="s">
        <v>63</v>
      </c>
      <c r="N4" s="7" t="s">
        <v>64</v>
      </c>
      <c r="O4" s="7" t="s">
        <v>65</v>
      </c>
      <c r="P4" s="7" t="s">
        <v>60</v>
      </c>
      <c r="Q4" s="7" t="s">
        <v>61</v>
      </c>
      <c r="R4" s="7" t="s">
        <v>177</v>
      </c>
      <c r="S4" s="7" t="s">
        <v>62</v>
      </c>
      <c r="T4" s="7" t="s">
        <v>178</v>
      </c>
    </row>
    <row r="5" spans="2:22" ht="15" thickBot="1">
      <c r="B5" s="9" t="s">
        <v>14</v>
      </c>
      <c r="C5" s="10"/>
      <c r="D5" s="10"/>
      <c r="E5" s="10"/>
      <c r="F5" s="81"/>
      <c r="G5" s="81" t="s">
        <v>682</v>
      </c>
      <c r="H5" s="10"/>
      <c r="I5" s="10"/>
      <c r="J5" s="10" t="s">
        <v>375</v>
      </c>
      <c r="K5" s="10" t="s">
        <v>377</v>
      </c>
      <c r="L5" s="10"/>
      <c r="M5" s="10" t="s">
        <v>379</v>
      </c>
      <c r="N5" s="10" t="s">
        <v>378</v>
      </c>
      <c r="O5" s="10" t="s">
        <v>378</v>
      </c>
      <c r="P5" s="10" t="s">
        <v>15</v>
      </c>
      <c r="Q5" s="10" t="s">
        <v>15</v>
      </c>
      <c r="R5" s="10"/>
      <c r="S5" s="10" t="s">
        <v>16</v>
      </c>
      <c r="T5" s="10" t="s">
        <v>181</v>
      </c>
    </row>
    <row r="6" spans="2:22">
      <c r="B6" t="s">
        <v>353</v>
      </c>
      <c r="C6" t="s">
        <v>355</v>
      </c>
      <c r="D6" t="s">
        <v>687</v>
      </c>
      <c r="F6" s="114" t="s">
        <v>357</v>
      </c>
      <c r="G6" s="134" t="s">
        <v>683</v>
      </c>
      <c r="H6">
        <v>2030</v>
      </c>
      <c r="I6">
        <v>2030</v>
      </c>
      <c r="K6">
        <f>D25/1000</f>
        <v>8.8100000000000001E-3</v>
      </c>
      <c r="M6">
        <f>G25/1000*6.5</f>
        <v>7.4489999999999998</v>
      </c>
      <c r="O6" s="134">
        <f>H25/1000*6.5</f>
        <v>0.27300000000000002</v>
      </c>
      <c r="P6">
        <v>1</v>
      </c>
      <c r="Q6">
        <v>0.9</v>
      </c>
      <c r="S6">
        <v>30</v>
      </c>
      <c r="T6">
        <v>2</v>
      </c>
    </row>
    <row r="7" spans="2:22">
      <c r="B7" s="134" t="s">
        <v>354</v>
      </c>
      <c r="C7" s="134" t="s">
        <v>356</v>
      </c>
      <c r="D7" s="134" t="s">
        <v>687</v>
      </c>
      <c r="F7" s="114" t="s">
        <v>357</v>
      </c>
      <c r="G7" s="134" t="s">
        <v>683</v>
      </c>
      <c r="H7">
        <v>2030</v>
      </c>
      <c r="I7">
        <v>2030</v>
      </c>
      <c r="K7">
        <f>D27/1000</f>
        <v>5.2500000000000003E-3</v>
      </c>
      <c r="M7" s="134">
        <f>G27/1000*6.5</f>
        <v>4.5109999999999992</v>
      </c>
      <c r="O7" s="134">
        <f>H27/1000*6.5</f>
        <v>0.16899999999999998</v>
      </c>
      <c r="P7">
        <v>1</v>
      </c>
      <c r="Q7" s="134">
        <v>0.9</v>
      </c>
      <c r="S7">
        <v>30</v>
      </c>
      <c r="T7">
        <v>2</v>
      </c>
    </row>
    <row r="8" spans="2:22">
      <c r="E8" t="s">
        <v>17</v>
      </c>
      <c r="F8" s="134"/>
      <c r="G8" s="134" t="s">
        <v>683</v>
      </c>
      <c r="J8">
        <f>E27/1000*3.6/1000/K7</f>
        <v>0.25097142857142857</v>
      </c>
    </row>
    <row r="11" spans="2:22">
      <c r="L11" s="195"/>
      <c r="P11" s="134"/>
      <c r="Q11" s="134"/>
    </row>
    <row r="12" spans="2:22">
      <c r="I12">
        <f>174/29507</f>
        <v>5.8969058189582129E-3</v>
      </c>
      <c r="L12" s="195"/>
      <c r="M12" s="134"/>
      <c r="O12" s="134"/>
    </row>
    <row r="14" spans="2:22">
      <c r="J14" s="134"/>
    </row>
    <row r="15" spans="2:22">
      <c r="J15" s="134"/>
    </row>
    <row r="20" spans="3:10">
      <c r="C20" t="s">
        <v>380</v>
      </c>
    </row>
    <row r="22" spans="3:10" ht="15" customHeight="1">
      <c r="C22" s="360" t="s">
        <v>358</v>
      </c>
      <c r="D22" s="360" t="s">
        <v>359</v>
      </c>
      <c r="E22" s="360" t="s">
        <v>360</v>
      </c>
      <c r="F22" s="360" t="s">
        <v>361</v>
      </c>
      <c r="G22" s="360" t="s">
        <v>362</v>
      </c>
      <c r="H22" s="360" t="s">
        <v>363</v>
      </c>
      <c r="I22" s="5" t="s">
        <v>364</v>
      </c>
      <c r="J22" s="5"/>
    </row>
    <row r="23" spans="3:10">
      <c r="C23" s="361"/>
      <c r="D23" s="361"/>
      <c r="E23" s="361"/>
      <c r="F23" s="361"/>
      <c r="G23" s="361"/>
      <c r="H23" s="361"/>
      <c r="I23" s="175" t="s">
        <v>365</v>
      </c>
      <c r="J23" s="175"/>
    </row>
    <row r="24" spans="3:10">
      <c r="C24" s="361"/>
      <c r="D24" s="361"/>
      <c r="E24" s="361"/>
      <c r="F24" s="361"/>
      <c r="G24" s="361"/>
      <c r="H24" s="361"/>
      <c r="I24" s="175">
        <v>7.4999999999999997E-2</v>
      </c>
      <c r="J24" s="175">
        <v>0.125</v>
      </c>
    </row>
    <row r="25" spans="3:10">
      <c r="C25" s="176" t="s">
        <v>366</v>
      </c>
      <c r="D25">
        <v>8.81</v>
      </c>
      <c r="E25">
        <v>0</v>
      </c>
      <c r="F25">
        <v>0.48</v>
      </c>
      <c r="G25">
        <v>1146</v>
      </c>
      <c r="H25">
        <v>42</v>
      </c>
      <c r="I25">
        <v>168</v>
      </c>
      <c r="J25">
        <v>232</v>
      </c>
    </row>
    <row r="26" spans="3:10">
      <c r="C26" s="177" t="s">
        <v>367</v>
      </c>
      <c r="D26">
        <v>8.81</v>
      </c>
      <c r="E26">
        <v>0</v>
      </c>
      <c r="F26">
        <v>0.48</v>
      </c>
      <c r="G26">
        <v>793</v>
      </c>
      <c r="H26">
        <v>30</v>
      </c>
      <c r="I26">
        <v>126</v>
      </c>
      <c r="J26" s="22">
        <v>170</v>
      </c>
    </row>
    <row r="27" spans="3:10">
      <c r="C27" s="176" t="s">
        <v>368</v>
      </c>
      <c r="D27">
        <v>5.25</v>
      </c>
      <c r="E27">
        <v>366</v>
      </c>
      <c r="F27">
        <v>0.3</v>
      </c>
      <c r="G27">
        <v>694</v>
      </c>
      <c r="H27">
        <v>26</v>
      </c>
      <c r="I27" t="s">
        <v>370</v>
      </c>
      <c r="J27" t="s">
        <v>371</v>
      </c>
    </row>
    <row r="28" spans="3:10">
      <c r="C28" s="177" t="s">
        <v>369</v>
      </c>
      <c r="D28">
        <v>5.25</v>
      </c>
      <c r="E28">
        <v>77</v>
      </c>
      <c r="F28">
        <v>0.3</v>
      </c>
      <c r="G28">
        <v>609</v>
      </c>
      <c r="H28">
        <v>23</v>
      </c>
      <c r="I28" t="s">
        <v>372</v>
      </c>
      <c r="J28" t="s">
        <v>373</v>
      </c>
    </row>
    <row r="30" spans="3:10" ht="74.25" customHeight="1">
      <c r="C30" s="362" t="s">
        <v>374</v>
      </c>
      <c r="D30" s="362"/>
      <c r="E30" s="362"/>
      <c r="F30" s="362"/>
      <c r="G30" s="362"/>
      <c r="H30" s="362"/>
      <c r="I30" s="362"/>
      <c r="J30" s="362"/>
    </row>
  </sheetData>
  <mergeCells count="7">
    <mergeCell ref="C22:C24"/>
    <mergeCell ref="C30:J30"/>
    <mergeCell ref="D22:D24"/>
    <mergeCell ref="E22:E24"/>
    <mergeCell ref="F22:F24"/>
    <mergeCell ref="G22:G24"/>
    <mergeCell ref="H22:H24"/>
  </mergeCells>
  <pageMargins left="0.7" right="0.7" top="0.75" bottom="0.75" header="0.3" footer="0.3"/>
  <pageSetup orientation="portrait" horizontalDpi="1200" verticalDpi="120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AR210"/>
  <sheetViews>
    <sheetView zoomScale="70" zoomScaleNormal="70" zoomScalePageLayoutView="80" workbookViewId="0">
      <pane xSplit="3" ySplit="5" topLeftCell="D6" activePane="bottomRight" state="frozen"/>
      <selection activeCell="A12" sqref="A12"/>
      <selection pane="topRight" activeCell="C12" sqref="C12"/>
      <selection pane="bottomLeft" activeCell="A15" sqref="A15"/>
      <selection pane="bottomRight" activeCell="F7" sqref="F7"/>
    </sheetView>
  </sheetViews>
  <sheetFormatPr defaultColWidth="9.109375" defaultRowHeight="30.6" customHeight="1"/>
  <cols>
    <col min="1" max="1" width="9.109375" style="94"/>
    <col min="2" max="2" width="30.33203125" style="1" bestFit="1" customWidth="1"/>
    <col min="3" max="3" width="57.6640625" style="1" customWidth="1"/>
    <col min="4" max="4" width="46" style="1" customWidth="1"/>
    <col min="5" max="5" width="13.6640625" style="114" bestFit="1" customWidth="1"/>
    <col min="6" max="6" width="11.6640625" style="1" customWidth="1"/>
    <col min="7" max="7" width="31.5546875" style="1" bestFit="1" customWidth="1"/>
    <col min="8" max="8" width="31.5546875" style="114" customWidth="1"/>
    <col min="9" max="9" width="10.6640625" style="1" customWidth="1"/>
    <col min="10" max="10" width="14" style="1" customWidth="1"/>
    <col min="11" max="11" width="12.44140625" style="1" customWidth="1"/>
    <col min="12" max="23" width="10.6640625" style="1" customWidth="1"/>
    <col min="24" max="26" width="9.109375" style="2" customWidth="1"/>
    <col min="27" max="16384" width="9.109375" style="2"/>
  </cols>
  <sheetData>
    <row r="1" spans="2:44" s="94" customFormat="1" ht="30.6" customHeight="1">
      <c r="B1" s="114"/>
      <c r="C1" s="114"/>
      <c r="D1" s="114"/>
      <c r="E1" s="114"/>
      <c r="F1" s="114"/>
      <c r="G1" s="114"/>
      <c r="H1" s="114"/>
      <c r="I1" s="114"/>
      <c r="J1" s="114"/>
      <c r="K1" s="114"/>
      <c r="L1" s="114"/>
      <c r="M1" s="114"/>
      <c r="N1" s="114"/>
      <c r="O1" s="114"/>
      <c r="P1" s="114"/>
      <c r="Q1" s="114"/>
      <c r="R1" s="114"/>
      <c r="S1" s="114"/>
      <c r="T1" s="114"/>
      <c r="U1" s="114"/>
      <c r="V1" s="114"/>
      <c r="W1" s="114"/>
    </row>
    <row r="2" spans="2:44" ht="30.6" customHeight="1">
      <c r="I2" s="4" t="s">
        <v>0</v>
      </c>
      <c r="AB2" s="2" t="s">
        <v>332</v>
      </c>
      <c r="AE2" s="94"/>
    </row>
    <row r="3" spans="2:44" ht="30.6" customHeight="1">
      <c r="B3" s="5" t="s">
        <v>1</v>
      </c>
      <c r="C3" s="5" t="s">
        <v>2</v>
      </c>
      <c r="D3" s="5" t="s">
        <v>3</v>
      </c>
      <c r="E3" s="5" t="s">
        <v>59</v>
      </c>
      <c r="F3" s="6" t="s">
        <v>4</v>
      </c>
      <c r="G3" s="5" t="s">
        <v>184</v>
      </c>
      <c r="H3" s="243" t="s">
        <v>681</v>
      </c>
      <c r="I3" s="5" t="s">
        <v>5</v>
      </c>
      <c r="J3" s="5" t="s">
        <v>6</v>
      </c>
      <c r="K3" s="5" t="s">
        <v>167</v>
      </c>
      <c r="L3" s="5" t="s">
        <v>7</v>
      </c>
      <c r="M3" s="5" t="s">
        <v>190</v>
      </c>
      <c r="N3" s="5" t="s">
        <v>168</v>
      </c>
      <c r="O3" s="5" t="s">
        <v>169</v>
      </c>
      <c r="P3" s="5" t="s">
        <v>170</v>
      </c>
      <c r="Q3" s="5" t="s">
        <v>8</v>
      </c>
      <c r="R3" s="5" t="s">
        <v>9</v>
      </c>
      <c r="S3" s="5" t="s">
        <v>10</v>
      </c>
      <c r="T3" s="5" t="s">
        <v>11</v>
      </c>
      <c r="U3" s="5" t="s">
        <v>12</v>
      </c>
      <c r="V3" s="5" t="s">
        <v>171</v>
      </c>
      <c r="W3" s="5" t="s">
        <v>19</v>
      </c>
      <c r="X3" s="5" t="s">
        <v>172</v>
      </c>
      <c r="AA3" s="5" t="s">
        <v>7</v>
      </c>
      <c r="AB3" s="5" t="s">
        <v>8</v>
      </c>
      <c r="AC3" s="5" t="s">
        <v>9</v>
      </c>
      <c r="AD3" s="5" t="s">
        <v>10</v>
      </c>
      <c r="AE3" s="167" t="s">
        <v>337</v>
      </c>
      <c r="AF3" s="167" t="s">
        <v>168</v>
      </c>
      <c r="AG3" s="167" t="s">
        <v>169</v>
      </c>
      <c r="AH3" s="5" t="s">
        <v>170</v>
      </c>
      <c r="AI3" s="167" t="s">
        <v>335</v>
      </c>
      <c r="AJ3" s="167" t="s">
        <v>335</v>
      </c>
      <c r="AK3" s="5" t="s">
        <v>168</v>
      </c>
      <c r="AL3" s="5" t="s">
        <v>169</v>
      </c>
      <c r="AM3" s="175" t="s">
        <v>660</v>
      </c>
      <c r="AQ3" s="2">
        <v>7.45</v>
      </c>
      <c r="AR3" s="2" t="s">
        <v>251</v>
      </c>
    </row>
    <row r="4" spans="2:44" s="3" customFormat="1" ht="30.6" customHeight="1">
      <c r="B4" s="7" t="s">
        <v>13</v>
      </c>
      <c r="C4" s="7"/>
      <c r="D4" s="7" t="s">
        <v>67</v>
      </c>
      <c r="E4" s="7" t="s">
        <v>225</v>
      </c>
      <c r="F4" s="8" t="s">
        <v>68</v>
      </c>
      <c r="G4" s="7" t="s">
        <v>185</v>
      </c>
      <c r="H4" s="7"/>
      <c r="I4" s="7"/>
      <c r="J4" s="7" t="s">
        <v>66</v>
      </c>
      <c r="K4" s="7" t="s">
        <v>173</v>
      </c>
      <c r="L4" s="7" t="s">
        <v>174</v>
      </c>
      <c r="M4" s="7" t="s">
        <v>187</v>
      </c>
      <c r="N4" s="7" t="s">
        <v>175</v>
      </c>
      <c r="O4" s="7" t="s">
        <v>175</v>
      </c>
      <c r="P4" s="7" t="s">
        <v>176</v>
      </c>
      <c r="Q4" s="7" t="s">
        <v>63</v>
      </c>
      <c r="R4" s="7" t="s">
        <v>64</v>
      </c>
      <c r="S4" s="7" t="s">
        <v>65</v>
      </c>
      <c r="T4" s="7" t="s">
        <v>60</v>
      </c>
      <c r="U4" s="7" t="s">
        <v>61</v>
      </c>
      <c r="V4" s="7" t="s">
        <v>177</v>
      </c>
      <c r="W4" s="7" t="s">
        <v>62</v>
      </c>
      <c r="X4" s="7" t="s">
        <v>178</v>
      </c>
      <c r="AA4" s="7" t="s">
        <v>174</v>
      </c>
      <c r="AB4" s="7" t="s">
        <v>63</v>
      </c>
      <c r="AC4" s="7" t="s">
        <v>64</v>
      </c>
      <c r="AD4" s="7" t="s">
        <v>65</v>
      </c>
      <c r="AE4" s="7" t="s">
        <v>338</v>
      </c>
      <c r="AF4" s="7" t="s">
        <v>175</v>
      </c>
      <c r="AG4" s="7" t="s">
        <v>175</v>
      </c>
      <c r="AH4" s="7" t="s">
        <v>176</v>
      </c>
      <c r="AI4" s="7" t="s">
        <v>336</v>
      </c>
      <c r="AJ4" s="7" t="s">
        <v>336</v>
      </c>
      <c r="AK4" s="7" t="s">
        <v>175</v>
      </c>
      <c r="AL4" s="7" t="s">
        <v>175</v>
      </c>
    </row>
    <row r="5" spans="2:44" ht="30.6" customHeight="1" thickBot="1">
      <c r="B5" s="9" t="s">
        <v>14</v>
      </c>
      <c r="C5" s="10"/>
      <c r="D5" s="10"/>
      <c r="E5" s="10"/>
      <c r="F5" s="81"/>
      <c r="G5" s="10"/>
      <c r="H5" s="81" t="s">
        <v>682</v>
      </c>
      <c r="I5" s="10"/>
      <c r="J5" s="10"/>
      <c r="K5" s="10"/>
      <c r="L5" s="10"/>
      <c r="M5" s="10"/>
      <c r="N5" s="10"/>
      <c r="O5" s="10"/>
      <c r="P5" s="10"/>
      <c r="Q5" s="10" t="s">
        <v>179</v>
      </c>
      <c r="R5" s="10" t="s">
        <v>179</v>
      </c>
      <c r="S5" s="10" t="s">
        <v>180</v>
      </c>
      <c r="T5" s="10" t="s">
        <v>15</v>
      </c>
      <c r="U5" s="10" t="s">
        <v>15</v>
      </c>
      <c r="V5" s="10"/>
      <c r="W5" s="10" t="s">
        <v>16</v>
      </c>
      <c r="X5" s="10" t="s">
        <v>181</v>
      </c>
      <c r="AA5" s="10"/>
      <c r="AB5" s="10" t="s">
        <v>179</v>
      </c>
      <c r="AC5" s="10" t="s">
        <v>179</v>
      </c>
      <c r="AD5" s="10" t="s">
        <v>180</v>
      </c>
      <c r="AE5" s="168"/>
      <c r="AF5" s="10" t="s">
        <v>339</v>
      </c>
      <c r="AG5" s="10" t="s">
        <v>339</v>
      </c>
      <c r="AH5" s="10"/>
      <c r="AI5" s="10" t="s">
        <v>339</v>
      </c>
      <c r="AJ5" s="10" t="s">
        <v>340</v>
      </c>
      <c r="AK5" s="10" t="s">
        <v>340</v>
      </c>
      <c r="AL5" s="10" t="s">
        <v>340</v>
      </c>
    </row>
    <row r="6" spans="2:44" ht="30.6" customHeight="1">
      <c r="B6" s="50" t="s">
        <v>186</v>
      </c>
      <c r="C6" s="50" t="s">
        <v>196</v>
      </c>
      <c r="D6" s="50" t="s">
        <v>18</v>
      </c>
      <c r="E6" s="115"/>
      <c r="F6" s="80" t="s">
        <v>17</v>
      </c>
      <c r="G6" s="80"/>
      <c r="H6" s="244" t="s">
        <v>683</v>
      </c>
      <c r="I6" s="50">
        <v>2013</v>
      </c>
      <c r="J6" s="114">
        <v>2030</v>
      </c>
      <c r="K6" s="50"/>
      <c r="L6" s="75">
        <f>AA6-CCS!$L$51/100</f>
        <v>0.35000000000000003</v>
      </c>
      <c r="M6" s="75"/>
      <c r="N6" s="76" t="s">
        <v>25</v>
      </c>
      <c r="O6" s="97">
        <f>(AJ6-L6)/L6</f>
        <v>1.2412698412698409</v>
      </c>
      <c r="P6" s="75">
        <v>0.15</v>
      </c>
      <c r="Q6" s="98">
        <f>AB6+CCS!L$54/1000*7.45</f>
        <v>25.628</v>
      </c>
      <c r="R6" s="98">
        <f>Q6*CCS!C$59/100</f>
        <v>0.64069999999999994</v>
      </c>
      <c r="S6" s="98">
        <f>AD6+CCS!$L$60/3.6*7.45</f>
        <v>8.0708333333333329</v>
      </c>
      <c r="T6" s="76">
        <v>3.1536000000000002E-2</v>
      </c>
      <c r="U6" s="75">
        <v>0.95</v>
      </c>
      <c r="V6" s="76">
        <v>1</v>
      </c>
      <c r="W6" s="78">
        <v>40</v>
      </c>
      <c r="X6" s="77">
        <v>4</v>
      </c>
      <c r="AA6" s="96">
        <v>0.46</v>
      </c>
      <c r="AB6" s="98">
        <v>15.198</v>
      </c>
      <c r="AC6" s="98">
        <v>0.42614000000000002</v>
      </c>
      <c r="AD6" s="98">
        <v>4.1388888888888893</v>
      </c>
      <c r="AE6" s="96">
        <v>0.75</v>
      </c>
      <c r="AF6" s="97" t="s">
        <v>25</v>
      </c>
      <c r="AG6" s="97">
        <f>1/AE6</f>
        <v>1.3333333333333333</v>
      </c>
      <c r="AH6" s="96">
        <v>0.15</v>
      </c>
      <c r="AI6" s="2">
        <f>(AA6+AA6*AG6)/(1+AG6*AH6)</f>
        <v>0.89444444444444438</v>
      </c>
      <c r="AJ6" s="55">
        <f>AI6-AA6+L6</f>
        <v>0.78444444444444439</v>
      </c>
      <c r="AL6" s="55">
        <f>($AJ6-$L6)/($L6-($AJ6)*$P6)</f>
        <v>1.8699186991869909</v>
      </c>
    </row>
    <row r="7" spans="2:44" ht="30.6" customHeight="1">
      <c r="D7" s="50"/>
      <c r="E7" s="115"/>
      <c r="F7" s="80" t="s">
        <v>899</v>
      </c>
      <c r="G7" s="80"/>
      <c r="H7" s="244" t="s">
        <v>683</v>
      </c>
      <c r="I7" s="1">
        <v>2013</v>
      </c>
      <c r="J7" s="50"/>
      <c r="K7" s="50"/>
      <c r="R7" s="114"/>
      <c r="S7" s="114"/>
      <c r="X7" s="77"/>
      <c r="AE7" s="94"/>
      <c r="AG7" s="114"/>
      <c r="AH7" s="114"/>
      <c r="AI7" s="96"/>
    </row>
    <row r="8" spans="2:44" ht="30.6" customHeight="1">
      <c r="B8" s="50"/>
      <c r="C8" s="50"/>
      <c r="D8" s="50"/>
      <c r="E8" s="115"/>
      <c r="F8" s="80"/>
      <c r="G8" s="114" t="s">
        <v>881</v>
      </c>
      <c r="H8" s="244" t="s">
        <v>683</v>
      </c>
      <c r="I8" s="1">
        <v>2013</v>
      </c>
      <c r="J8" s="50"/>
      <c r="K8" s="50"/>
      <c r="M8" s="1">
        <f>Emis!C11*CCS!$C$52/100</f>
        <v>82.301999999999992</v>
      </c>
      <c r="X8" s="77"/>
      <c r="AE8" s="94"/>
      <c r="AG8" s="114"/>
      <c r="AH8" s="114"/>
      <c r="AI8" s="96"/>
      <c r="AJ8" s="122"/>
    </row>
    <row r="9" spans="2:44" ht="30.6" customHeight="1">
      <c r="B9" s="50"/>
      <c r="C9" s="50"/>
      <c r="D9" s="50"/>
      <c r="E9" s="115"/>
      <c r="F9" s="80"/>
      <c r="G9" s="80"/>
      <c r="H9" s="244" t="s">
        <v>683</v>
      </c>
      <c r="I9" s="50">
        <v>2020</v>
      </c>
      <c r="J9" s="50"/>
      <c r="K9" s="50"/>
      <c r="L9" s="96">
        <f>AA9-CCS!$M$51/100</f>
        <v>0.375</v>
      </c>
      <c r="N9" s="76" t="s">
        <v>25</v>
      </c>
      <c r="O9" s="97">
        <f>(AJ9-L9)/L9</f>
        <v>1.1104377104377106</v>
      </c>
      <c r="P9" s="75">
        <v>0.15</v>
      </c>
      <c r="Q9" s="98">
        <f>AB9+CCS!M$54/1000*7.45</f>
        <v>23.3185</v>
      </c>
      <c r="R9" s="98">
        <f>Q9*CCS!D$59/100</f>
        <v>0.58296250000000005</v>
      </c>
      <c r="S9" s="98">
        <f>AD9+CCS!$M$60/3.6*7.45</f>
        <v>8.4847222222222225</v>
      </c>
      <c r="T9" s="76"/>
      <c r="U9" s="76"/>
      <c r="V9" s="76"/>
      <c r="W9" s="79"/>
      <c r="X9" s="77"/>
      <c r="AA9" s="96">
        <v>0.48499999999999999</v>
      </c>
      <c r="AB9" s="98">
        <v>15.123499999999998</v>
      </c>
      <c r="AC9" s="98">
        <v>0.45891999999999999</v>
      </c>
      <c r="AD9" s="98">
        <v>4.552777777777778</v>
      </c>
      <c r="AE9" s="96">
        <v>0.84</v>
      </c>
      <c r="AF9" s="96"/>
      <c r="AG9" s="97">
        <f>1/AE9</f>
        <v>1.1904761904761905</v>
      </c>
      <c r="AH9" s="96">
        <v>0.15</v>
      </c>
      <c r="AI9" s="94">
        <f>(AA9+AA9*AG9)/(1+AG9*AH9)</f>
        <v>0.90141414141414145</v>
      </c>
      <c r="AJ9" s="55">
        <f>AI9-AA9+L9</f>
        <v>0.79141414141414146</v>
      </c>
      <c r="AK9" s="94"/>
      <c r="AL9" s="55">
        <f>($AJ9-$L9)/($L9-($AJ9)*$P9)</f>
        <v>1.6247906197654942</v>
      </c>
    </row>
    <row r="10" spans="2:44" ht="30.6" customHeight="1">
      <c r="B10" s="50"/>
      <c r="C10" s="50"/>
      <c r="D10" s="50"/>
      <c r="E10" s="115"/>
      <c r="F10" s="50"/>
      <c r="G10" s="50"/>
      <c r="H10" s="244" t="s">
        <v>683</v>
      </c>
      <c r="I10" s="50">
        <v>2030</v>
      </c>
      <c r="J10" s="50"/>
      <c r="K10" s="50"/>
      <c r="L10" s="96">
        <f>AA10-CCS!$N$51/100</f>
        <v>0.42000000000000004</v>
      </c>
      <c r="N10" s="76" t="s">
        <v>25</v>
      </c>
      <c r="O10" s="97">
        <f>(AJ10-L10)/L10</f>
        <v>0.90722495894909694</v>
      </c>
      <c r="P10" s="75">
        <v>0.15</v>
      </c>
      <c r="Q10" s="98">
        <f>AB10+CCS!N$54/1000*7.45</f>
        <v>21.902999999999999</v>
      </c>
      <c r="R10" s="98">
        <f>Q10*CCS!E$59/100</f>
        <v>0.54757499999999992</v>
      </c>
      <c r="S10" s="98">
        <f>AD10+CCS!$N$60/3.6*7.45</f>
        <v>8.4847222222222225</v>
      </c>
      <c r="T10" s="76"/>
      <c r="U10" s="76"/>
      <c r="V10" s="76"/>
      <c r="W10" s="79"/>
      <c r="X10" s="50"/>
      <c r="Y10" s="50"/>
      <c r="Z10" s="50"/>
      <c r="AA10" s="96">
        <v>0.52</v>
      </c>
      <c r="AB10" s="98">
        <v>14.8255</v>
      </c>
      <c r="AC10" s="98">
        <v>0.45891999999999999</v>
      </c>
      <c r="AD10" s="98">
        <v>4.552777777777778</v>
      </c>
      <c r="AE10" s="96">
        <v>1.01</v>
      </c>
      <c r="AF10" s="96"/>
      <c r="AG10" s="97">
        <f>1/AE10</f>
        <v>0.99009900990099009</v>
      </c>
      <c r="AH10" s="96">
        <v>0.15</v>
      </c>
      <c r="AI10" s="94">
        <f>(AA10+AA10*AG10)/(1+AG10*AH10)</f>
        <v>0.90103448275862075</v>
      </c>
      <c r="AJ10" s="55">
        <f>AI10-AA10+L10</f>
        <v>0.80103448275862077</v>
      </c>
      <c r="AK10" s="94"/>
      <c r="AL10" s="55">
        <f>($AJ10-$L10)/($L10-($AJ10)*$P10)</f>
        <v>1.2707722385141742</v>
      </c>
    </row>
    <row r="11" spans="2:44" ht="30.6" customHeight="1">
      <c r="B11" s="50"/>
      <c r="C11" s="50"/>
      <c r="D11" s="50"/>
      <c r="E11" s="115"/>
      <c r="F11" s="50"/>
      <c r="G11" s="50"/>
      <c r="H11" s="244" t="s">
        <v>683</v>
      </c>
      <c r="I11" s="50">
        <v>2050</v>
      </c>
      <c r="J11" s="50"/>
      <c r="K11" s="50"/>
      <c r="L11" s="96">
        <f>AA11-CCS!$P$51/100</f>
        <v>0.43500000000000005</v>
      </c>
      <c r="N11" s="50"/>
      <c r="O11" s="97">
        <f>(AJ11-L11)/L11</f>
        <v>0.90120887831946128</v>
      </c>
      <c r="P11" s="75">
        <v>0.15</v>
      </c>
      <c r="Q11" s="98">
        <f>AB11+CCS!P$54/1000*7.45</f>
        <v>21.157999999999998</v>
      </c>
      <c r="R11" s="98">
        <f>Q11*CCS!G$59/100</f>
        <v>0.52894999999999992</v>
      </c>
      <c r="S11" s="98">
        <f>AD11+CCS!$P$60/3.6*7.45</f>
        <v>8.4847222222222225</v>
      </c>
      <c r="T11" s="50"/>
      <c r="U11" s="50"/>
      <c r="V11" s="50"/>
      <c r="W11" s="50"/>
      <c r="X11" s="50"/>
      <c r="Y11" s="50"/>
      <c r="Z11" s="50"/>
      <c r="AA11" s="96">
        <v>0.53500000000000003</v>
      </c>
      <c r="AB11" s="98">
        <v>14.080499999999999</v>
      </c>
      <c r="AC11" s="98">
        <v>0.45891999999999999</v>
      </c>
      <c r="AD11" s="98">
        <v>4.552777777777778</v>
      </c>
      <c r="AE11" s="96">
        <v>1.01</v>
      </c>
      <c r="AF11" s="96"/>
      <c r="AG11" s="97">
        <f>1/AE11</f>
        <v>0.99009900990099009</v>
      </c>
      <c r="AH11" s="96">
        <v>0.15</v>
      </c>
      <c r="AI11" s="94">
        <f>(AA11+AA11*AG11)/(1+AG11*AH11)</f>
        <v>0.92702586206896576</v>
      </c>
      <c r="AJ11" s="55">
        <f>AI11-AA11+L11</f>
        <v>0.82702586206896578</v>
      </c>
      <c r="AK11" s="94"/>
      <c r="AL11" s="55">
        <f>($AJ11-$L11)/($L11-($AJ11)*$P11)</f>
        <v>1.2607517379521627</v>
      </c>
    </row>
    <row r="12" spans="2:44" ht="30.6" customHeight="1">
      <c r="B12" s="50" t="s">
        <v>191</v>
      </c>
      <c r="C12" s="50" t="s">
        <v>197</v>
      </c>
      <c r="D12" s="115" t="s">
        <v>18</v>
      </c>
      <c r="E12" s="115"/>
      <c r="F12" s="80" t="s">
        <v>17</v>
      </c>
      <c r="G12" s="80"/>
      <c r="H12" s="244" t="s">
        <v>683</v>
      </c>
      <c r="I12" s="50">
        <v>2013</v>
      </c>
      <c r="J12" s="114">
        <v>2030</v>
      </c>
      <c r="K12" s="50"/>
      <c r="L12" s="96">
        <f>AA12-CCS!$L$111/100</f>
        <v>0.37</v>
      </c>
      <c r="M12" s="50"/>
      <c r="N12" s="50"/>
      <c r="O12" s="97">
        <f>(AJ12-L12)/L12</f>
        <v>1.1741741741741738</v>
      </c>
      <c r="P12" s="96">
        <v>0.15</v>
      </c>
      <c r="Q12" s="98">
        <f>AB12+CCS!L$114/1000*7.45</f>
        <v>25.628</v>
      </c>
      <c r="R12" s="98">
        <f>Q12*CCS!C$119/100</f>
        <v>0.64069999999999994</v>
      </c>
      <c r="S12" s="98">
        <f>MAX(AD12, AD12+CCS!$L$120/3.6*7.45)</f>
        <v>4.1388888888888893</v>
      </c>
      <c r="T12" s="76">
        <v>3.1536000000000002E-2</v>
      </c>
      <c r="U12" s="75">
        <v>0.95</v>
      </c>
      <c r="V12" s="76">
        <v>1</v>
      </c>
      <c r="W12" s="78">
        <v>40</v>
      </c>
      <c r="X12" s="77">
        <v>4</v>
      </c>
      <c r="Y12" s="50"/>
      <c r="Z12" s="50"/>
      <c r="AA12" s="96">
        <v>0.46</v>
      </c>
      <c r="AB12" s="98">
        <v>15.198</v>
      </c>
      <c r="AC12" s="98">
        <v>0.42614000000000002</v>
      </c>
      <c r="AD12" s="98">
        <v>4.1388888888888893</v>
      </c>
      <c r="AE12" s="96">
        <v>0.75</v>
      </c>
      <c r="AF12" s="97" t="s">
        <v>25</v>
      </c>
      <c r="AG12" s="97">
        <f>1/AE12</f>
        <v>1.3333333333333333</v>
      </c>
      <c r="AH12" s="96">
        <v>0.15</v>
      </c>
      <c r="AI12" s="94">
        <f>(AA12+AA12*AG12)/(1+AG12*AH12)</f>
        <v>0.89444444444444438</v>
      </c>
      <c r="AJ12" s="55">
        <f>AI12-AA12+L12</f>
        <v>0.8044444444444443</v>
      </c>
      <c r="AK12" s="94"/>
      <c r="AL12" s="55">
        <f>($AJ12-$L12)/($L12-($AJ12)*$P12)</f>
        <v>1.7424242424242418</v>
      </c>
    </row>
    <row r="13" spans="2:44" ht="30.6" customHeight="1">
      <c r="B13" s="50"/>
      <c r="C13" s="50"/>
      <c r="D13" s="50"/>
      <c r="E13" s="115"/>
      <c r="F13" s="80" t="s">
        <v>899</v>
      </c>
      <c r="G13" s="80"/>
      <c r="H13" s="244" t="s">
        <v>683</v>
      </c>
      <c r="I13" s="1">
        <v>2013</v>
      </c>
      <c r="J13" s="50"/>
      <c r="K13" s="50"/>
      <c r="L13" s="114"/>
      <c r="M13" s="50"/>
      <c r="N13" s="50"/>
      <c r="O13" s="114"/>
      <c r="P13" s="114"/>
      <c r="Q13" s="114"/>
      <c r="R13" s="114"/>
      <c r="S13" s="114"/>
      <c r="T13" s="50"/>
      <c r="U13" s="50"/>
      <c r="V13" s="50"/>
      <c r="W13" s="50"/>
      <c r="X13" s="50"/>
      <c r="Y13" s="50"/>
      <c r="Z13" s="50"/>
      <c r="AA13" s="94"/>
      <c r="AB13" s="94"/>
      <c r="AC13" s="94"/>
      <c r="AD13" s="94"/>
      <c r="AE13" s="94"/>
      <c r="AF13" s="94"/>
      <c r="AG13" s="114"/>
      <c r="AH13" s="96"/>
    </row>
    <row r="14" spans="2:44" ht="30.6" customHeight="1">
      <c r="B14" s="50"/>
      <c r="C14" s="50"/>
      <c r="D14" s="50"/>
      <c r="E14" s="115"/>
      <c r="F14" s="80"/>
      <c r="G14" s="114" t="s">
        <v>881</v>
      </c>
      <c r="H14" s="244" t="s">
        <v>683</v>
      </c>
      <c r="I14" s="1">
        <v>2013</v>
      </c>
      <c r="J14" s="50"/>
      <c r="K14" s="50"/>
      <c r="L14" s="114"/>
      <c r="M14" s="114">
        <f>Emis!C11*CCS!$C$112/100</f>
        <v>85.14</v>
      </c>
      <c r="O14" s="114"/>
      <c r="P14" s="114"/>
      <c r="Q14" s="114"/>
      <c r="R14" s="114"/>
      <c r="S14" s="114"/>
      <c r="T14" s="50"/>
      <c r="U14" s="50"/>
      <c r="V14" s="50"/>
      <c r="W14" s="50"/>
      <c r="X14" s="50"/>
      <c r="Y14" s="50"/>
      <c r="Z14" s="50"/>
      <c r="AA14" s="94"/>
      <c r="AB14" s="94"/>
      <c r="AC14" s="94"/>
      <c r="AD14" s="94"/>
      <c r="AE14" s="94"/>
      <c r="AF14" s="94"/>
      <c r="AG14" s="114"/>
      <c r="AH14" s="96"/>
    </row>
    <row r="15" spans="2:44" ht="30.6" customHeight="1">
      <c r="B15" s="50"/>
      <c r="C15" s="50"/>
      <c r="D15" s="50"/>
      <c r="E15" s="115"/>
      <c r="F15" s="80"/>
      <c r="G15" s="80"/>
      <c r="H15" s="244" t="s">
        <v>683</v>
      </c>
      <c r="I15" s="50">
        <v>2020</v>
      </c>
      <c r="J15" s="50"/>
      <c r="K15" s="50"/>
      <c r="L15" s="96">
        <f>AA15-CCS!$M$111/100</f>
        <v>0.39500000000000002</v>
      </c>
      <c r="M15" s="114"/>
      <c r="O15" s="97">
        <f>(AJ15-L15)/L15</f>
        <v>1.0542130162383327</v>
      </c>
      <c r="P15" s="96">
        <v>0.15</v>
      </c>
      <c r="Q15" s="98">
        <f>AB15+CCS!M$114/1000*7.45</f>
        <v>23.3185</v>
      </c>
      <c r="R15" s="98">
        <f>Q15*CCS!D$119/100</f>
        <v>0.58296250000000005</v>
      </c>
      <c r="S15" s="98">
        <f>MAX(AD15, AD15+CCS!$L$120/3.6*7.45)</f>
        <v>4.552777777777778</v>
      </c>
      <c r="T15" s="50"/>
      <c r="U15" s="50"/>
      <c r="V15" s="50"/>
      <c r="W15" s="50"/>
      <c r="X15" s="50"/>
      <c r="Y15" s="50"/>
      <c r="Z15" s="50"/>
      <c r="AA15" s="96">
        <v>0.48499999999999999</v>
      </c>
      <c r="AB15" s="98">
        <v>15.123499999999998</v>
      </c>
      <c r="AC15" s="98">
        <v>0.45891999999999999</v>
      </c>
      <c r="AD15" s="98">
        <v>4.552777777777778</v>
      </c>
      <c r="AE15" s="96">
        <v>0.84</v>
      </c>
      <c r="AF15" s="96"/>
      <c r="AG15" s="97">
        <f>1/AE15</f>
        <v>1.1904761904761905</v>
      </c>
      <c r="AH15" s="96">
        <v>0.15</v>
      </c>
      <c r="AI15" s="94">
        <f>(AA15+AA15*AG15)/(1+AG15*AH15)</f>
        <v>0.90141414141414145</v>
      </c>
      <c r="AJ15" s="55">
        <f>AI15-AA15+L15</f>
        <v>0.81141414141414148</v>
      </c>
      <c r="AK15" s="94"/>
      <c r="AL15" s="55">
        <f>($AJ15-$L15)/($L15-($AJ15)*$P15)</f>
        <v>1.5237197612315427</v>
      </c>
    </row>
    <row r="16" spans="2:44" ht="30.6" customHeight="1">
      <c r="B16" s="50"/>
      <c r="C16" s="50"/>
      <c r="D16" s="50"/>
      <c r="E16" s="115"/>
      <c r="F16" s="50"/>
      <c r="G16" s="50"/>
      <c r="H16" s="244" t="s">
        <v>683</v>
      </c>
      <c r="I16" s="50">
        <v>2030</v>
      </c>
      <c r="J16" s="50"/>
      <c r="K16" s="50"/>
      <c r="L16" s="96">
        <f>AA16-CCS!$N$111/100</f>
        <v>0.43000000000000005</v>
      </c>
      <c r="M16" s="114"/>
      <c r="N16" s="50"/>
      <c r="O16" s="97">
        <f>(AJ16-L16)/L16</f>
        <v>0.88612670408981553</v>
      </c>
      <c r="P16" s="96">
        <v>0.15</v>
      </c>
      <c r="Q16" s="98">
        <f>AB16+CCS!N$114/1000*7.45</f>
        <v>21.902999999999999</v>
      </c>
      <c r="R16" s="98">
        <f>Q16*CCS!E$119/100</f>
        <v>0.54757499999999992</v>
      </c>
      <c r="S16" s="98">
        <f>MAX(AD16, AD16+CCS!$L$120/3.6*7.45)</f>
        <v>4.552777777777778</v>
      </c>
      <c r="T16" s="50"/>
      <c r="U16" s="50"/>
      <c r="V16" s="50"/>
      <c r="W16" s="50"/>
      <c r="X16" s="50"/>
      <c r="Y16" s="50"/>
      <c r="Z16" s="50"/>
      <c r="AA16" s="96">
        <v>0.52</v>
      </c>
      <c r="AB16" s="98">
        <v>14.8255</v>
      </c>
      <c r="AC16" s="98">
        <v>0.45891999999999999</v>
      </c>
      <c r="AD16" s="98">
        <v>4.552777777777778</v>
      </c>
      <c r="AE16" s="96">
        <v>1.01</v>
      </c>
      <c r="AF16" s="96"/>
      <c r="AG16" s="97">
        <f>1/AE16</f>
        <v>0.99009900990099009</v>
      </c>
      <c r="AH16" s="96">
        <v>0.15</v>
      </c>
      <c r="AI16" s="94">
        <f>(AA16+AA16*AG16)/(1+AG16*AH16)</f>
        <v>0.90103448275862075</v>
      </c>
      <c r="AJ16" s="55">
        <f>AI16-AA16+L16</f>
        <v>0.81103448275862078</v>
      </c>
      <c r="AK16" s="94"/>
      <c r="AL16" s="55">
        <f>($AJ16-$L16)/($L16-($AJ16)*$P16)</f>
        <v>1.2357414448669199</v>
      </c>
    </row>
    <row r="17" spans="2:38" ht="30.6" customHeight="1">
      <c r="B17" s="50"/>
      <c r="C17" s="50"/>
      <c r="D17" s="50"/>
      <c r="E17" s="115"/>
      <c r="F17" s="50"/>
      <c r="G17" s="50"/>
      <c r="H17" s="244" t="s">
        <v>683</v>
      </c>
      <c r="I17" s="50">
        <v>2050</v>
      </c>
      <c r="J17" s="50"/>
      <c r="K17" s="50"/>
      <c r="L17" s="96">
        <f>AA17-CCS!$P$111/100</f>
        <v>0.44500000000000006</v>
      </c>
      <c r="M17" s="114"/>
      <c r="N17" s="50"/>
      <c r="O17" s="97">
        <f>(AJ17-L17)/L17</f>
        <v>0.88095699341340605</v>
      </c>
      <c r="P17" s="96">
        <v>0.15</v>
      </c>
      <c r="Q17" s="98">
        <f>AB17+CCS!P$114/1000*7.45</f>
        <v>21.157999999999998</v>
      </c>
      <c r="R17" s="98">
        <f>Q17*CCS!G$119/100</f>
        <v>0.52894999999999992</v>
      </c>
      <c r="S17" s="98">
        <f>MAX(AD17, AD17+CCS!$L$120/3.6*7.45)</f>
        <v>4.552777777777778</v>
      </c>
      <c r="T17" s="50"/>
      <c r="U17" s="50"/>
      <c r="V17" s="50"/>
      <c r="W17" s="50"/>
      <c r="X17" s="50"/>
      <c r="Y17" s="50"/>
      <c r="Z17" s="50"/>
      <c r="AA17" s="96">
        <v>0.53500000000000003</v>
      </c>
      <c r="AB17" s="98">
        <v>14.080499999999999</v>
      </c>
      <c r="AC17" s="98">
        <v>0.45891999999999999</v>
      </c>
      <c r="AD17" s="98">
        <v>4.552777777777778</v>
      </c>
      <c r="AE17" s="96">
        <v>1.01</v>
      </c>
      <c r="AF17" s="96"/>
      <c r="AG17" s="97">
        <f>1/AE17</f>
        <v>0.99009900990099009</v>
      </c>
      <c r="AH17" s="96">
        <v>0.15</v>
      </c>
      <c r="AI17" s="94">
        <f>(AA17+AA17*AG17)/(1+AG17*AH17)</f>
        <v>0.92702586206896576</v>
      </c>
      <c r="AJ17" s="55">
        <f>AI17-AA17+L17</f>
        <v>0.83702586206896579</v>
      </c>
      <c r="AK17" s="94"/>
      <c r="AL17" s="55">
        <f>($AJ17-$L17)/($L17-($AJ17)*$P17)</f>
        <v>1.2272049546966401</v>
      </c>
    </row>
    <row r="18" spans="2:38" s="94" customFormat="1" ht="30.6" customHeight="1">
      <c r="B18" s="115" t="s">
        <v>344</v>
      </c>
      <c r="C18" s="115" t="s">
        <v>346</v>
      </c>
      <c r="D18" s="94" t="s">
        <v>182</v>
      </c>
      <c r="E18" s="115"/>
      <c r="F18" s="116" t="s">
        <v>17</v>
      </c>
      <c r="G18" s="116"/>
      <c r="H18" s="244" t="s">
        <v>683</v>
      </c>
      <c r="I18" s="115">
        <v>2013</v>
      </c>
      <c r="J18" s="114">
        <v>2030</v>
      </c>
      <c r="K18" s="115"/>
      <c r="L18" s="96">
        <f>AA18-CCS!$L$51/100</f>
        <v>0.35000000000000003</v>
      </c>
      <c r="M18" s="96"/>
      <c r="N18" s="97" t="s">
        <v>25</v>
      </c>
      <c r="O18" s="97">
        <f>(AJ18-L18)/L18</f>
        <v>1.2412698412698409</v>
      </c>
      <c r="P18" s="96">
        <v>0.15</v>
      </c>
      <c r="Q18" s="98">
        <f>AB18+CCS!L$54/1000*7.45</f>
        <v>25.628</v>
      </c>
      <c r="R18" s="98">
        <f>Q18*CCS!C$59/100</f>
        <v>0.64069999999999994</v>
      </c>
      <c r="S18" s="98">
        <f>AD18+CCS!$L$60/3.6*7.45</f>
        <v>8.0708333333333329</v>
      </c>
      <c r="T18" s="97">
        <v>3.1536000000000002E-2</v>
      </c>
      <c r="U18" s="96">
        <v>0.95</v>
      </c>
      <c r="V18" s="97">
        <v>1</v>
      </c>
      <c r="W18" s="78">
        <v>40</v>
      </c>
      <c r="X18" s="98">
        <v>4</v>
      </c>
      <c r="AA18" s="96">
        <v>0.46</v>
      </c>
      <c r="AB18" s="98">
        <v>15.198</v>
      </c>
      <c r="AC18" s="98">
        <v>0.42614000000000002</v>
      </c>
      <c r="AD18" s="98">
        <v>4.1388888888888893</v>
      </c>
      <c r="AE18" s="96">
        <v>0.75</v>
      </c>
      <c r="AF18" s="97" t="s">
        <v>25</v>
      </c>
      <c r="AG18" s="97">
        <f t="shared" ref="AG18" si="0">1/AE18</f>
        <v>1.3333333333333333</v>
      </c>
      <c r="AH18" s="96">
        <v>0.15</v>
      </c>
      <c r="AI18" s="94">
        <f>(AA18+AA18*AG18)/(1+AG18*AH18)</f>
        <v>0.89444444444444438</v>
      </c>
      <c r="AJ18" s="55">
        <f>AI18-AA18+L18</f>
        <v>0.78444444444444439</v>
      </c>
      <c r="AL18" s="55">
        <f>($AJ18-$L18)/($L18-($AJ18)*$P18)</f>
        <v>1.8699186991869909</v>
      </c>
    </row>
    <row r="19" spans="2:38" s="94" customFormat="1" ht="30.6" customHeight="1">
      <c r="B19" s="114"/>
      <c r="C19" s="114"/>
      <c r="D19" s="115"/>
      <c r="E19" s="115"/>
      <c r="F19" s="116" t="s">
        <v>899</v>
      </c>
      <c r="G19" s="116"/>
      <c r="H19" s="244" t="s">
        <v>683</v>
      </c>
      <c r="I19" s="114">
        <v>2013</v>
      </c>
      <c r="J19" s="115"/>
      <c r="K19" s="115"/>
      <c r="L19" s="114"/>
      <c r="M19" s="114"/>
      <c r="N19" s="65"/>
      <c r="O19" s="114"/>
      <c r="P19" s="114"/>
      <c r="Q19" s="114"/>
      <c r="R19" s="114"/>
      <c r="S19" s="114"/>
      <c r="T19" s="114"/>
      <c r="U19" s="114"/>
      <c r="V19" s="114"/>
      <c r="W19" s="114"/>
      <c r="X19" s="98"/>
      <c r="AE19" s="96"/>
      <c r="AF19" s="97"/>
      <c r="AG19" s="97"/>
      <c r="AH19" s="96"/>
      <c r="AI19" s="96"/>
    </row>
    <row r="20" spans="2:38" s="94" customFormat="1" ht="30.6" customHeight="1">
      <c r="B20" s="115"/>
      <c r="C20" s="115"/>
      <c r="D20" s="115"/>
      <c r="E20" s="115"/>
      <c r="F20" s="116"/>
      <c r="G20" s="114" t="s">
        <v>879</v>
      </c>
      <c r="H20" s="244" t="s">
        <v>683</v>
      </c>
      <c r="I20" s="114">
        <v>2013</v>
      </c>
      <c r="J20" s="115"/>
      <c r="K20" s="115"/>
      <c r="L20" s="114"/>
      <c r="M20" s="114">
        <f>Emis!C11*CCS!$C$52/100</f>
        <v>82.301999999999992</v>
      </c>
      <c r="N20" s="114"/>
      <c r="O20" s="114"/>
      <c r="P20" s="114"/>
      <c r="Q20" s="114"/>
      <c r="R20" s="114"/>
      <c r="S20" s="114"/>
      <c r="T20" s="114"/>
      <c r="U20" s="114"/>
      <c r="V20" s="114"/>
      <c r="W20" s="114"/>
      <c r="X20" s="98"/>
      <c r="AE20" s="96"/>
      <c r="AF20" s="97"/>
      <c r="AG20" s="97"/>
      <c r="AH20" s="96"/>
      <c r="AI20" s="96"/>
      <c r="AJ20" s="122"/>
    </row>
    <row r="21" spans="2:38" s="94" customFormat="1" ht="30.6" customHeight="1">
      <c r="B21" s="115"/>
      <c r="C21" s="115"/>
      <c r="D21" s="115"/>
      <c r="E21" s="115"/>
      <c r="F21" s="116"/>
      <c r="G21" s="116"/>
      <c r="H21" s="244" t="s">
        <v>683</v>
      </c>
      <c r="I21" s="115">
        <v>2020</v>
      </c>
      <c r="J21" s="115"/>
      <c r="K21" s="115"/>
      <c r="L21" s="96">
        <f>AA21-CCS!$M$51/100</f>
        <v>0.375</v>
      </c>
      <c r="M21" s="114"/>
      <c r="N21" s="97" t="s">
        <v>25</v>
      </c>
      <c r="O21" s="97">
        <f>(AJ21-L21)/L21</f>
        <v>1.1104377104377106</v>
      </c>
      <c r="P21" s="96">
        <v>0.15</v>
      </c>
      <c r="Q21" s="98">
        <f>AB21+CCS!M$54/1000*7.45</f>
        <v>23.3185</v>
      </c>
      <c r="R21" s="98">
        <f>Q21*CCS!D$59/100</f>
        <v>0.58296250000000005</v>
      </c>
      <c r="S21" s="98">
        <f>AD21+CCS!$M$60/3.6*7.45</f>
        <v>8.4847222222222225</v>
      </c>
      <c r="T21" s="97"/>
      <c r="U21" s="97"/>
      <c r="V21" s="97"/>
      <c r="W21" s="79"/>
      <c r="X21" s="98"/>
      <c r="AA21" s="94">
        <v>0.48499999999999999</v>
      </c>
      <c r="AB21" s="94">
        <v>15.123499999999998</v>
      </c>
      <c r="AC21" s="94">
        <v>0.45891999999999999</v>
      </c>
      <c r="AD21" s="94">
        <v>4.552777777777778</v>
      </c>
      <c r="AE21" s="96">
        <v>0.84</v>
      </c>
      <c r="AF21" s="97" t="s">
        <v>25</v>
      </c>
      <c r="AG21" s="97">
        <f t="shared" ref="AG21" si="1">1/AE21</f>
        <v>1.1904761904761905</v>
      </c>
      <c r="AH21" s="96">
        <v>0.15</v>
      </c>
      <c r="AI21" s="94">
        <f>(AA21+AA21*AG21)/(1+AG21*AH21)</f>
        <v>0.90141414141414145</v>
      </c>
      <c r="AJ21" s="55">
        <f>AI21-AA21+L21</f>
        <v>0.79141414141414146</v>
      </c>
      <c r="AL21" s="55">
        <f>($AJ21-$L21)/($L21-($AJ21)*$P21)</f>
        <v>1.6247906197654942</v>
      </c>
    </row>
    <row r="22" spans="2:38" s="94" customFormat="1" ht="30.6" customHeight="1">
      <c r="B22" s="115"/>
      <c r="C22" s="115"/>
      <c r="D22" s="115"/>
      <c r="E22" s="115"/>
      <c r="F22" s="115"/>
      <c r="G22" s="115"/>
      <c r="H22" s="244" t="s">
        <v>683</v>
      </c>
      <c r="I22" s="115">
        <v>2030</v>
      </c>
      <c r="J22" s="115"/>
      <c r="K22" s="115"/>
      <c r="L22" s="96">
        <f>AA22-CCS!$N$51/100</f>
        <v>0.42000000000000004</v>
      </c>
      <c r="M22" s="114"/>
      <c r="N22" s="97" t="s">
        <v>25</v>
      </c>
      <c r="O22" s="97">
        <f>(AJ22-L22)/L22</f>
        <v>0.90722495894909694</v>
      </c>
      <c r="P22" s="96">
        <v>0.15</v>
      </c>
      <c r="Q22" s="98">
        <f>AB22+CCS!N$54/1000*7.45</f>
        <v>21.902999999999999</v>
      </c>
      <c r="R22" s="98">
        <f>Q22*CCS!E$59/100</f>
        <v>0.54757499999999992</v>
      </c>
      <c r="S22" s="98">
        <f>AD22+CCS!$N$60/3.6*7.45</f>
        <v>8.4847222222222225</v>
      </c>
      <c r="T22" s="97"/>
      <c r="U22" s="97"/>
      <c r="V22" s="97"/>
      <c r="W22" s="79"/>
      <c r="X22" s="115"/>
      <c r="Y22" s="115"/>
      <c r="Z22" s="115"/>
      <c r="AA22" s="94">
        <v>0.52</v>
      </c>
      <c r="AB22" s="94">
        <v>14.8255</v>
      </c>
      <c r="AC22" s="94">
        <v>0.45891999999999999</v>
      </c>
      <c r="AD22" s="94">
        <v>4.552777777777778</v>
      </c>
      <c r="AE22" s="96">
        <v>1.01</v>
      </c>
      <c r="AF22" s="97" t="s">
        <v>25</v>
      </c>
      <c r="AG22" s="97">
        <f t="shared" ref="AG22" si="2">1/AE22</f>
        <v>0.99009900990099009</v>
      </c>
      <c r="AH22" s="96">
        <v>0.15</v>
      </c>
      <c r="AI22" s="94">
        <f>(AA22+AA22*AG22)/(1+AG22*AH22)</f>
        <v>0.90103448275862075</v>
      </c>
      <c r="AJ22" s="55">
        <f>AI22-AA22+L22</f>
        <v>0.80103448275862077</v>
      </c>
      <c r="AL22" s="55">
        <f>($AJ22-$L22)/($L22-($AJ22)*$P22)</f>
        <v>1.2707722385141742</v>
      </c>
    </row>
    <row r="23" spans="2:38" s="94" customFormat="1" ht="30.6" customHeight="1">
      <c r="B23" s="115"/>
      <c r="C23" s="115"/>
      <c r="D23" s="115"/>
      <c r="E23" s="115"/>
      <c r="F23" s="115"/>
      <c r="G23" s="115"/>
      <c r="H23" s="244" t="s">
        <v>683</v>
      </c>
      <c r="I23" s="115">
        <v>2050</v>
      </c>
      <c r="J23" s="115"/>
      <c r="K23" s="115"/>
      <c r="L23" s="96">
        <f>AA23-CCS!$P$51/100</f>
        <v>0.43500000000000005</v>
      </c>
      <c r="M23" s="114"/>
      <c r="N23" s="115"/>
      <c r="O23" s="97">
        <f>(AJ23-L23)/L23</f>
        <v>0.90120887831946128</v>
      </c>
      <c r="P23" s="96">
        <v>0.15</v>
      </c>
      <c r="Q23" s="98">
        <f>AB23+CCS!P$54/1000*7.45</f>
        <v>21.157999999999998</v>
      </c>
      <c r="R23" s="98">
        <f>Q23*CCS!G$59/100</f>
        <v>0.52894999999999992</v>
      </c>
      <c r="S23" s="98">
        <f>AD23+CCS!$P$60/3.6*7.45</f>
        <v>8.4847222222222225</v>
      </c>
      <c r="T23" s="115"/>
      <c r="U23" s="115"/>
      <c r="V23" s="115"/>
      <c r="W23" s="115"/>
      <c r="X23" s="115"/>
      <c r="Y23" s="115"/>
      <c r="Z23" s="115"/>
      <c r="AA23" s="94">
        <v>0.53500000000000003</v>
      </c>
      <c r="AB23" s="94">
        <v>14.080499999999999</v>
      </c>
      <c r="AC23" s="94">
        <v>0.45891999999999999</v>
      </c>
      <c r="AD23" s="94">
        <v>4.552777777777778</v>
      </c>
      <c r="AE23" s="96">
        <v>1.01</v>
      </c>
      <c r="AF23" s="97" t="s">
        <v>25</v>
      </c>
      <c r="AG23" s="97">
        <f t="shared" ref="AG23" si="3">1/AE23</f>
        <v>0.99009900990099009</v>
      </c>
      <c r="AH23" s="96">
        <v>0.15</v>
      </c>
      <c r="AI23" s="94">
        <f>(AA23+AA23*AG23)/(1+AG23*AH23)</f>
        <v>0.92702586206896576</v>
      </c>
      <c r="AJ23" s="55">
        <f>AI23-AA23+L23</f>
        <v>0.82702586206896578</v>
      </c>
      <c r="AL23" s="55">
        <f>($AJ23-$L23)/($L23-($AJ23)*$P23)</f>
        <v>1.2607517379521627</v>
      </c>
    </row>
    <row r="24" spans="2:38" s="94" customFormat="1" ht="30.6" customHeight="1">
      <c r="B24" s="115" t="s">
        <v>345</v>
      </c>
      <c r="C24" s="115" t="s">
        <v>347</v>
      </c>
      <c r="D24" s="94" t="s">
        <v>182</v>
      </c>
      <c r="E24" s="115"/>
      <c r="F24" s="116" t="s">
        <v>17</v>
      </c>
      <c r="G24" s="116"/>
      <c r="H24" s="244" t="s">
        <v>683</v>
      </c>
      <c r="I24" s="115">
        <v>2013</v>
      </c>
      <c r="J24" s="114">
        <v>2030</v>
      </c>
      <c r="K24" s="115"/>
      <c r="L24" s="96">
        <f>AA24-CCS!$L$111/100</f>
        <v>0.37</v>
      </c>
      <c r="M24" s="115"/>
      <c r="N24" s="115"/>
      <c r="O24" s="97">
        <f>(AJ24-L24)/L24</f>
        <v>1.1741741741741738</v>
      </c>
      <c r="P24" s="96">
        <v>0.15</v>
      </c>
      <c r="Q24" s="98">
        <f>AB24+CCS!L$114/1000*7.45</f>
        <v>25.628</v>
      </c>
      <c r="R24" s="98">
        <f>Q24*CCS!C$119/100</f>
        <v>0.64069999999999994</v>
      </c>
      <c r="S24" s="98">
        <f>MAX(AD24, AD24+CCS!$L$120/3.6*7.45)</f>
        <v>4.1388888888888893</v>
      </c>
      <c r="T24" s="97">
        <v>3.1536000000000002E-2</v>
      </c>
      <c r="U24" s="96">
        <v>0.95</v>
      </c>
      <c r="V24" s="97">
        <v>1</v>
      </c>
      <c r="W24" s="78">
        <v>40</v>
      </c>
      <c r="X24" s="98">
        <v>4</v>
      </c>
      <c r="Y24" s="115"/>
      <c r="Z24" s="115"/>
      <c r="AA24" s="96">
        <v>0.46</v>
      </c>
      <c r="AB24" s="98">
        <v>15.198</v>
      </c>
      <c r="AC24" s="98">
        <v>0.42614000000000002</v>
      </c>
      <c r="AD24" s="98">
        <v>4.1388888888888893</v>
      </c>
      <c r="AE24" s="96">
        <v>0.75</v>
      </c>
      <c r="AF24" s="97" t="s">
        <v>25</v>
      </c>
      <c r="AG24" s="97">
        <f t="shared" ref="AG24" si="4">1/AE24</f>
        <v>1.3333333333333333</v>
      </c>
      <c r="AH24" s="96">
        <v>0.15</v>
      </c>
      <c r="AI24" s="94">
        <f>(AA24+AA24*AG24)/(1+AG24*AH24)</f>
        <v>0.89444444444444438</v>
      </c>
      <c r="AJ24" s="55">
        <f>AI24-AA24+L24</f>
        <v>0.8044444444444443</v>
      </c>
      <c r="AL24" s="55">
        <f>($AJ24-$L24)/($L24-($AJ24)*$P24)</f>
        <v>1.7424242424242418</v>
      </c>
    </row>
    <row r="25" spans="2:38" s="94" customFormat="1" ht="30.6" customHeight="1">
      <c r="B25" s="115"/>
      <c r="C25" s="115"/>
      <c r="D25" s="115"/>
      <c r="E25" s="115"/>
      <c r="F25" s="116" t="s">
        <v>899</v>
      </c>
      <c r="G25" s="116"/>
      <c r="H25" s="244" t="s">
        <v>683</v>
      </c>
      <c r="I25" s="114">
        <v>2013</v>
      </c>
      <c r="J25" s="115"/>
      <c r="K25" s="115"/>
      <c r="L25" s="114"/>
      <c r="M25" s="115"/>
      <c r="N25" s="115"/>
      <c r="O25" s="114"/>
      <c r="P25" s="114"/>
      <c r="Q25" s="114"/>
      <c r="R25" s="114"/>
      <c r="S25" s="114"/>
      <c r="T25" s="115"/>
      <c r="U25" s="115"/>
      <c r="V25" s="115"/>
      <c r="W25" s="115"/>
      <c r="X25" s="115"/>
      <c r="Y25" s="115"/>
      <c r="Z25" s="115"/>
      <c r="AE25" s="96"/>
      <c r="AF25" s="97"/>
      <c r="AG25" s="97"/>
      <c r="AH25" s="96"/>
      <c r="AI25" s="96"/>
    </row>
    <row r="26" spans="2:38" s="94" customFormat="1" ht="30.6" customHeight="1">
      <c r="B26" s="115"/>
      <c r="C26" s="115"/>
      <c r="D26" s="115"/>
      <c r="E26" s="115"/>
      <c r="F26" s="116"/>
      <c r="G26" s="114" t="s">
        <v>879</v>
      </c>
      <c r="H26" s="244" t="s">
        <v>683</v>
      </c>
      <c r="I26" s="114">
        <v>2013</v>
      </c>
      <c r="J26" s="115"/>
      <c r="K26" s="115"/>
      <c r="L26" s="114"/>
      <c r="M26" s="114">
        <f>Emis!C11*CCS!$C$112/100</f>
        <v>85.14</v>
      </c>
      <c r="N26" s="114"/>
      <c r="O26" s="114"/>
      <c r="P26" s="114"/>
      <c r="Q26" s="114"/>
      <c r="R26" s="114"/>
      <c r="S26" s="114"/>
      <c r="T26" s="115"/>
      <c r="U26" s="115"/>
      <c r="V26" s="115"/>
      <c r="W26" s="115"/>
      <c r="X26" s="115"/>
      <c r="Y26" s="115"/>
      <c r="Z26" s="115"/>
      <c r="AE26" s="96"/>
      <c r="AF26" s="97"/>
      <c r="AG26" s="97"/>
      <c r="AH26" s="96"/>
      <c r="AI26" s="96"/>
      <c r="AJ26" s="122"/>
    </row>
    <row r="27" spans="2:38" s="94" customFormat="1" ht="30.6" customHeight="1">
      <c r="B27" s="115"/>
      <c r="C27" s="115"/>
      <c r="D27" s="115"/>
      <c r="E27" s="115"/>
      <c r="F27" s="116"/>
      <c r="G27" s="116"/>
      <c r="H27" s="244" t="s">
        <v>683</v>
      </c>
      <c r="I27" s="115">
        <v>2020</v>
      </c>
      <c r="J27" s="115"/>
      <c r="K27" s="115"/>
      <c r="L27" s="96">
        <f>AA27-CCS!$M$111/100</f>
        <v>0.39500000000000002</v>
      </c>
      <c r="M27" s="114"/>
      <c r="N27" s="114"/>
      <c r="O27" s="97">
        <f>(AJ27-L27)/L27</f>
        <v>1.0542130162383327</v>
      </c>
      <c r="P27" s="96">
        <v>0.15</v>
      </c>
      <c r="Q27" s="98">
        <f>AB27+CCS!M$114/1000*7.45</f>
        <v>23.3185</v>
      </c>
      <c r="R27" s="98">
        <f>Q27*CCS!D$119/100</f>
        <v>0.58296250000000005</v>
      </c>
      <c r="S27" s="98">
        <f>MAX(AD27, AD27+CCS!$L$120/3.6*7.45)</f>
        <v>4.552777777777778</v>
      </c>
      <c r="T27" s="115"/>
      <c r="U27" s="115"/>
      <c r="V27" s="115"/>
      <c r="W27" s="115"/>
      <c r="X27" s="115"/>
      <c r="Y27" s="115"/>
      <c r="Z27" s="115"/>
      <c r="AA27" s="94">
        <v>0.48499999999999999</v>
      </c>
      <c r="AB27" s="94">
        <v>15.123499999999998</v>
      </c>
      <c r="AC27" s="94">
        <v>0.45891999999999999</v>
      </c>
      <c r="AD27" s="94">
        <v>4.552777777777778</v>
      </c>
      <c r="AE27" s="96">
        <v>0.84</v>
      </c>
      <c r="AF27" s="97" t="s">
        <v>25</v>
      </c>
      <c r="AG27" s="97">
        <f t="shared" ref="AG27" si="5">1/AE27</f>
        <v>1.1904761904761905</v>
      </c>
      <c r="AH27" s="96">
        <v>0.15</v>
      </c>
      <c r="AI27" s="94">
        <f>(AA27+AA27*AG27)/(1+AG27*AH27)</f>
        <v>0.90141414141414145</v>
      </c>
      <c r="AJ27" s="55">
        <f>AI27-AA27+L27</f>
        <v>0.81141414141414148</v>
      </c>
      <c r="AL27" s="55">
        <f>($AJ27-$L27)/($L27-($AJ27)*$P27)</f>
        <v>1.5237197612315427</v>
      </c>
    </row>
    <row r="28" spans="2:38" s="94" customFormat="1" ht="30.6" customHeight="1">
      <c r="B28" s="115"/>
      <c r="C28" s="115"/>
      <c r="D28" s="115"/>
      <c r="E28" s="115"/>
      <c r="F28" s="115"/>
      <c r="G28" s="115"/>
      <c r="H28" s="244" t="s">
        <v>683</v>
      </c>
      <c r="I28" s="115">
        <v>2030</v>
      </c>
      <c r="J28" s="115"/>
      <c r="K28" s="115"/>
      <c r="L28" s="96">
        <f>AA28-CCS!$N$111/100</f>
        <v>0.43000000000000005</v>
      </c>
      <c r="M28" s="114"/>
      <c r="N28" s="115"/>
      <c r="O28" s="97">
        <f>(AJ28-L28)/L28</f>
        <v>0.88612670408981553</v>
      </c>
      <c r="P28" s="96">
        <v>0.15</v>
      </c>
      <c r="Q28" s="98">
        <f>AB28+CCS!N$114/1000*7.45</f>
        <v>21.902999999999999</v>
      </c>
      <c r="R28" s="98">
        <f>Q28*CCS!E$119/100</f>
        <v>0.54757499999999992</v>
      </c>
      <c r="S28" s="98">
        <f>MAX(AD28, AD28+CCS!$L$120/3.6*7.45)</f>
        <v>4.552777777777778</v>
      </c>
      <c r="T28" s="115"/>
      <c r="U28" s="115"/>
      <c r="V28" s="115"/>
      <c r="W28" s="115"/>
      <c r="X28" s="115"/>
      <c r="Y28" s="115"/>
      <c r="Z28" s="115"/>
      <c r="AA28" s="94">
        <v>0.52</v>
      </c>
      <c r="AB28" s="94">
        <v>14.8255</v>
      </c>
      <c r="AC28" s="94">
        <v>0.45891999999999999</v>
      </c>
      <c r="AD28" s="94">
        <v>4.552777777777778</v>
      </c>
      <c r="AE28" s="96">
        <v>1.01</v>
      </c>
      <c r="AF28" s="97" t="s">
        <v>25</v>
      </c>
      <c r="AG28" s="97">
        <f t="shared" ref="AG28" si="6">1/AE28</f>
        <v>0.99009900990099009</v>
      </c>
      <c r="AH28" s="96">
        <v>0.15</v>
      </c>
      <c r="AI28" s="94">
        <f>(AA28+AA28*AG28)/(1+AG28*AH28)</f>
        <v>0.90103448275862075</v>
      </c>
      <c r="AJ28" s="55">
        <f>AI28-AA28+L28</f>
        <v>0.81103448275862078</v>
      </c>
      <c r="AL28" s="55">
        <f>($AJ28-$L28)/($L28-($AJ28)*$P28)</f>
        <v>1.2357414448669199</v>
      </c>
    </row>
    <row r="29" spans="2:38" s="94" customFormat="1" ht="30.6" customHeight="1">
      <c r="B29" s="115"/>
      <c r="C29" s="115"/>
      <c r="D29" s="115"/>
      <c r="E29" s="115"/>
      <c r="F29" s="115"/>
      <c r="G29" s="115"/>
      <c r="H29" s="244" t="s">
        <v>683</v>
      </c>
      <c r="I29" s="115">
        <v>2050</v>
      </c>
      <c r="J29" s="115"/>
      <c r="K29" s="115"/>
      <c r="L29" s="96">
        <f>AA29-CCS!$P$111/100</f>
        <v>0.44500000000000006</v>
      </c>
      <c r="M29" s="114"/>
      <c r="N29" s="115"/>
      <c r="O29" s="97">
        <f>(AJ29-L29)/L29</f>
        <v>0.88095699341340605</v>
      </c>
      <c r="P29" s="96">
        <v>0.15</v>
      </c>
      <c r="Q29" s="98">
        <f>AB29+CCS!P$114/1000*7.45</f>
        <v>21.157999999999998</v>
      </c>
      <c r="R29" s="98">
        <f>Q29*CCS!G$119/100</f>
        <v>0.52894999999999992</v>
      </c>
      <c r="S29" s="98">
        <f>MAX(AD29, AD29+CCS!$L$120/3.6*7.45)</f>
        <v>4.552777777777778</v>
      </c>
      <c r="T29" s="115"/>
      <c r="U29" s="115"/>
      <c r="V29" s="115"/>
      <c r="W29" s="115"/>
      <c r="X29" s="115"/>
      <c r="Y29" s="115"/>
      <c r="Z29" s="115"/>
      <c r="AA29" s="94">
        <v>0.53500000000000003</v>
      </c>
      <c r="AB29" s="94">
        <v>14.080499999999999</v>
      </c>
      <c r="AC29" s="94">
        <v>0.45891999999999999</v>
      </c>
      <c r="AD29" s="94">
        <v>4.552777777777778</v>
      </c>
      <c r="AE29" s="96">
        <v>1.01</v>
      </c>
      <c r="AF29" s="97" t="s">
        <v>25</v>
      </c>
      <c r="AG29" s="97">
        <f t="shared" ref="AG29" si="7">1/AE29</f>
        <v>0.99009900990099009</v>
      </c>
      <c r="AH29" s="96">
        <v>0.15</v>
      </c>
      <c r="AI29" s="94">
        <f>(AA29+AA29*AG29)/(1+AG29*AH29)</f>
        <v>0.92702586206896576</v>
      </c>
      <c r="AJ29" s="55">
        <f>AI29-AA29+L29</f>
        <v>0.83702586206896579</v>
      </c>
      <c r="AL29" s="55">
        <f>($AJ29-$L29)/($L29-($AJ29)*$P29)</f>
        <v>1.2272049546966401</v>
      </c>
    </row>
    <row r="30" spans="2:38" ht="30.6" customHeight="1">
      <c r="B30" s="50" t="s">
        <v>193</v>
      </c>
      <c r="C30" s="95" t="s">
        <v>198</v>
      </c>
      <c r="D30" s="95" t="s">
        <v>21</v>
      </c>
      <c r="E30" s="115"/>
      <c r="F30" s="99" t="s">
        <v>17</v>
      </c>
      <c r="G30" s="99"/>
      <c r="H30" s="244" t="s">
        <v>683</v>
      </c>
      <c r="I30" s="95">
        <v>2013</v>
      </c>
      <c r="J30" s="114">
        <v>2030</v>
      </c>
      <c r="K30" s="50"/>
      <c r="L30" s="96">
        <f>AA30-CCS!$L$21/100</f>
        <v>0.49999999999999994</v>
      </c>
      <c r="N30" s="50"/>
      <c r="O30" s="97">
        <f>(AJ30-L30)/L30</f>
        <v>0.54383693045563564</v>
      </c>
      <c r="P30" s="96">
        <v>0.15</v>
      </c>
      <c r="Q30" s="98">
        <f>AB30+CCS!L$24/1000*7.45</f>
        <v>11.547499999999999</v>
      </c>
      <c r="R30" s="98">
        <f>Q30*CCS!C$29/100</f>
        <v>0.28868749999999999</v>
      </c>
      <c r="S30" s="98">
        <f>AD30+CCS!$L$30/3.6*7.45</f>
        <v>13.451388888888889</v>
      </c>
      <c r="T30" s="97">
        <v>3.1536000000000002E-2</v>
      </c>
      <c r="U30" s="50">
        <v>0.9</v>
      </c>
      <c r="V30" s="97">
        <v>1</v>
      </c>
      <c r="W30" s="50">
        <v>25</v>
      </c>
      <c r="X30" s="95">
        <v>2.5</v>
      </c>
      <c r="Y30" s="50"/>
      <c r="Z30" s="50"/>
      <c r="AA30" s="96">
        <v>0.57999999999999996</v>
      </c>
      <c r="AB30" s="98">
        <v>6.7050000000000001</v>
      </c>
      <c r="AC30" s="98">
        <v>0.2235</v>
      </c>
      <c r="AD30" s="98">
        <v>9.3125</v>
      </c>
      <c r="AE30" s="98"/>
      <c r="AF30" s="114"/>
      <c r="AG30" s="97">
        <v>0.60130718954248397</v>
      </c>
      <c r="AH30" s="96">
        <v>0.15</v>
      </c>
      <c r="AI30" s="94">
        <f>(AA30+AA30*AG30)/(1+AG30*AH30)</f>
        <v>0.85191846522781767</v>
      </c>
      <c r="AJ30" s="55">
        <f>AI30-AA30+L30</f>
        <v>0.77191846522781771</v>
      </c>
      <c r="AK30" s="94"/>
      <c r="AL30" s="55">
        <f>($AJ30-$L30)/($L30-($AJ30)*$P30)</f>
        <v>0.70772985304260183</v>
      </c>
    </row>
    <row r="31" spans="2:38" ht="30.6" customHeight="1">
      <c r="B31" s="50"/>
      <c r="C31" s="50"/>
      <c r="D31" s="95"/>
      <c r="E31" s="115"/>
      <c r="F31" s="99" t="s">
        <v>899</v>
      </c>
      <c r="G31" s="99"/>
      <c r="H31" s="244" t="s">
        <v>683</v>
      </c>
      <c r="I31" s="93">
        <v>2013</v>
      </c>
      <c r="J31" s="50"/>
      <c r="K31" s="50"/>
      <c r="L31" s="114"/>
      <c r="M31" s="50"/>
      <c r="N31" s="50"/>
      <c r="O31" s="114"/>
      <c r="Q31" s="114"/>
      <c r="R31" s="114"/>
      <c r="S31" s="114"/>
      <c r="T31" s="97"/>
      <c r="U31" s="95"/>
      <c r="V31" s="97"/>
      <c r="W31" s="95"/>
      <c r="X31" s="95"/>
      <c r="Y31" s="50"/>
      <c r="Z31" s="50"/>
      <c r="AA31" s="55"/>
      <c r="AB31" s="114"/>
      <c r="AC31" s="114"/>
      <c r="AD31" s="114"/>
      <c r="AE31" s="114"/>
      <c r="AF31" s="115"/>
      <c r="AG31" s="114"/>
      <c r="AH31" s="96"/>
      <c r="AI31" s="94"/>
      <c r="AJ31" s="94"/>
      <c r="AK31" s="94"/>
      <c r="AL31" s="94"/>
    </row>
    <row r="32" spans="2:38" ht="30.6" customHeight="1">
      <c r="B32" s="50"/>
      <c r="C32" s="50"/>
      <c r="D32" s="95"/>
      <c r="E32" s="115"/>
      <c r="F32" s="99"/>
      <c r="G32" s="114" t="s">
        <v>881</v>
      </c>
      <c r="H32" s="244" t="s">
        <v>683</v>
      </c>
      <c r="I32" s="93">
        <v>2013</v>
      </c>
      <c r="J32" s="50"/>
      <c r="K32" s="50"/>
      <c r="L32" s="114"/>
      <c r="M32" s="114">
        <f>Emis!F11*CCS!$C$52/100</f>
        <v>49.546500000000009</v>
      </c>
      <c r="O32" s="114"/>
      <c r="Q32" s="114"/>
      <c r="R32" s="114"/>
      <c r="S32" s="114"/>
      <c r="T32" s="97"/>
      <c r="U32" s="95"/>
      <c r="V32" s="97"/>
      <c r="W32" s="95"/>
      <c r="X32" s="95"/>
      <c r="Y32" s="50"/>
      <c r="Z32" s="50"/>
      <c r="AA32" s="55"/>
      <c r="AB32" s="114"/>
      <c r="AC32" s="114"/>
      <c r="AD32" s="114"/>
      <c r="AE32" s="114"/>
      <c r="AF32" s="115"/>
      <c r="AG32" s="114"/>
      <c r="AH32" s="96"/>
      <c r="AI32" s="94"/>
      <c r="AJ32" s="94"/>
      <c r="AK32" s="94"/>
      <c r="AL32" s="94"/>
    </row>
    <row r="33" spans="2:38" ht="30.6" customHeight="1">
      <c r="B33" s="50"/>
      <c r="C33" s="50"/>
      <c r="D33" s="95"/>
      <c r="E33" s="115"/>
      <c r="F33" s="99"/>
      <c r="G33" s="99"/>
      <c r="H33" s="244" t="s">
        <v>683</v>
      </c>
      <c r="I33" s="95">
        <v>2020</v>
      </c>
      <c r="J33" s="50"/>
      <c r="K33" s="50"/>
      <c r="L33" s="96">
        <f>AA33-CCS!$M$21/100</f>
        <v>0.51</v>
      </c>
      <c r="M33" s="114"/>
      <c r="O33" s="97">
        <f>(AJ33-L33)/L33</f>
        <v>0.50427350427350437</v>
      </c>
      <c r="P33" s="96">
        <v>0.15</v>
      </c>
      <c r="Q33" s="98">
        <f>AB33+CCS!M$24/1000*7.45</f>
        <v>11.3985</v>
      </c>
      <c r="R33" s="98">
        <f>Q33*CCS!D$29/100</f>
        <v>0.28496250000000001</v>
      </c>
      <c r="S33" s="98">
        <f>AD33+CCS!$M$30/3.6*7.45</f>
        <v>13.244444444444445</v>
      </c>
      <c r="T33" s="97"/>
      <c r="U33" s="95"/>
      <c r="V33" s="97"/>
      <c r="W33" s="95"/>
      <c r="X33" s="95"/>
      <c r="Y33" s="50"/>
      <c r="Z33" s="50"/>
      <c r="AA33" s="96">
        <v>0.59</v>
      </c>
      <c r="AB33" s="98">
        <v>6.556</v>
      </c>
      <c r="AC33" s="98">
        <v>0.21828500000000001</v>
      </c>
      <c r="AD33" s="98">
        <v>9.1055555555555561</v>
      </c>
      <c r="AE33" s="98"/>
      <c r="AF33" s="114"/>
      <c r="AG33" s="97">
        <v>0.55555555555555558</v>
      </c>
      <c r="AH33" s="96">
        <v>0.15</v>
      </c>
      <c r="AI33" s="94">
        <f>(AA33+AA33*AG33)/(1+AG33*AH33)</f>
        <v>0.84717948717948721</v>
      </c>
      <c r="AJ33" s="55">
        <f>AI33-AA33+L33</f>
        <v>0.76717948717948725</v>
      </c>
      <c r="AK33" s="94"/>
      <c r="AL33" s="55">
        <f>($AJ33-$L33)/($L33-($AJ33)*$P33)</f>
        <v>0.65121412803532019</v>
      </c>
    </row>
    <row r="34" spans="2:38" ht="30.6" customHeight="1">
      <c r="B34" s="50"/>
      <c r="C34" s="50"/>
      <c r="D34" s="95"/>
      <c r="E34" s="115"/>
      <c r="F34" s="95"/>
      <c r="G34" s="95"/>
      <c r="H34" s="244" t="s">
        <v>683</v>
      </c>
      <c r="I34" s="95">
        <v>2030</v>
      </c>
      <c r="J34" s="50"/>
      <c r="K34" s="50"/>
      <c r="L34" s="96">
        <f>AA34-CCS!$N$21/100</f>
        <v>0.54</v>
      </c>
      <c r="M34" s="114"/>
      <c r="O34" s="97">
        <f>(AJ34-L34)/L34</f>
        <v>0.44659776055124911</v>
      </c>
      <c r="P34" s="96">
        <v>0.15</v>
      </c>
      <c r="Q34" s="98">
        <f>AB34+CCS!N$24/1000*7.45</f>
        <v>11.026</v>
      </c>
      <c r="R34" s="98">
        <f>Q34*CCS!E$29/100</f>
        <v>0.27564999999999995</v>
      </c>
      <c r="S34" s="98">
        <f>AD34+CCS!$N$30/3.6*7.45</f>
        <v>12.830555555555556</v>
      </c>
      <c r="T34" s="50"/>
      <c r="U34" s="50"/>
      <c r="V34" s="50"/>
      <c r="W34" s="50"/>
      <c r="X34" s="50"/>
      <c r="Y34" s="50"/>
      <c r="Z34" s="50"/>
      <c r="AA34" s="96">
        <v>0.61</v>
      </c>
      <c r="AB34" s="98">
        <v>6.1834999999999996</v>
      </c>
      <c r="AC34" s="98">
        <v>0.20710999999999999</v>
      </c>
      <c r="AD34" s="98">
        <v>8.6916666666666664</v>
      </c>
      <c r="AE34" s="98"/>
      <c r="AF34" s="114"/>
      <c r="AG34" s="97">
        <v>0.5</v>
      </c>
      <c r="AH34" s="96">
        <v>0.15</v>
      </c>
      <c r="AI34" s="94">
        <f>(AA34+AA34*AG34)/(1+AG34*AH34)</f>
        <v>0.85116279069767453</v>
      </c>
      <c r="AJ34" s="55">
        <f>AI34-AA34+L34</f>
        <v>0.78116279069767458</v>
      </c>
      <c r="AK34" s="94"/>
      <c r="AL34" s="55">
        <f>($AJ34-$L34)/($L34-($AJ34)*$P34)</f>
        <v>0.57035998129967302</v>
      </c>
    </row>
    <row r="35" spans="2:38" ht="30.6" customHeight="1">
      <c r="B35" s="50"/>
      <c r="C35" s="50"/>
      <c r="D35" s="95"/>
      <c r="E35" s="115"/>
      <c r="F35" s="95"/>
      <c r="G35" s="95"/>
      <c r="H35" s="244" t="s">
        <v>683</v>
      </c>
      <c r="I35" s="95">
        <v>2050</v>
      </c>
      <c r="J35" s="50"/>
      <c r="K35" s="50"/>
      <c r="L35" s="96">
        <f>AA35-CCS!$P$21/100</f>
        <v>0.56000000000000005</v>
      </c>
      <c r="M35" s="114"/>
      <c r="O35" s="97">
        <f>(AJ35-L35)/L35</f>
        <v>0.40691489361702132</v>
      </c>
      <c r="P35" s="96">
        <v>0.15</v>
      </c>
      <c r="Q35" s="98">
        <f>AB35+CCS!P$24/1000*7.45</f>
        <v>10.802500000000002</v>
      </c>
      <c r="R35" s="98">
        <f>Q35*CCS!G$29/100</f>
        <v>0.27006250000000004</v>
      </c>
      <c r="S35" s="98">
        <f>AD35+CCS!$P$30/3.6*7.45</f>
        <v>12.416666666666668</v>
      </c>
      <c r="T35" s="50"/>
      <c r="U35" s="50"/>
      <c r="V35" s="50"/>
      <c r="W35" s="50"/>
      <c r="X35" s="50"/>
      <c r="Y35" s="50"/>
      <c r="Z35" s="50"/>
      <c r="AA35" s="96">
        <v>0.63</v>
      </c>
      <c r="AB35" s="98">
        <v>5.9600000000000009</v>
      </c>
      <c r="AC35" s="98">
        <v>0.19370000000000001</v>
      </c>
      <c r="AD35" s="98">
        <v>8.2777777777777786</v>
      </c>
      <c r="AE35" s="98"/>
      <c r="AF35" s="114"/>
      <c r="AG35" s="97">
        <v>0.45454545454545453</v>
      </c>
      <c r="AH35" s="96">
        <v>0.15</v>
      </c>
      <c r="AI35" s="94">
        <f>(AA35+AA35*AG35)/(1+AG35*AH35)</f>
        <v>0.85787234042553195</v>
      </c>
      <c r="AJ35" s="55">
        <f>AI35-AA35+L35</f>
        <v>0.787872340425532</v>
      </c>
      <c r="AK35" s="94"/>
      <c r="AL35" s="55">
        <f>($AJ35-$L35)/($L35-($AJ35)*$P35)</f>
        <v>0.51575931232091698</v>
      </c>
    </row>
    <row r="36" spans="2:38" ht="30.6" customHeight="1">
      <c r="B36" s="50" t="s">
        <v>194</v>
      </c>
      <c r="C36" s="95" t="s">
        <v>199</v>
      </c>
      <c r="D36" s="115" t="s">
        <v>21</v>
      </c>
      <c r="E36" s="115"/>
      <c r="F36" s="99" t="s">
        <v>17</v>
      </c>
      <c r="G36" s="99"/>
      <c r="H36" s="244" t="s">
        <v>683</v>
      </c>
      <c r="I36" s="95">
        <v>2013</v>
      </c>
      <c r="J36" s="114">
        <v>2030</v>
      </c>
      <c r="K36" s="50"/>
      <c r="L36" s="96">
        <f>AA36-CCS!$L$111/100</f>
        <v>0.49</v>
      </c>
      <c r="M36" s="115"/>
      <c r="O36" s="97">
        <f>(AJ36-L36)/L36</f>
        <v>0.55493564332207723</v>
      </c>
      <c r="P36" s="96">
        <v>0.15</v>
      </c>
      <c r="Q36" s="98">
        <f>AB36+CCS!L$114/1000*7.45</f>
        <v>17.134999999999998</v>
      </c>
      <c r="R36" s="98">
        <f>Q36*CCS!C$119/100</f>
        <v>0.42837499999999989</v>
      </c>
      <c r="S36" s="98">
        <f>MAX(AD36, AD36+CCS!$L$120/3.6*7.45)</f>
        <v>9.3125</v>
      </c>
      <c r="T36" s="97">
        <v>3.1536000000000002E-2</v>
      </c>
      <c r="U36" s="97">
        <v>0.9</v>
      </c>
      <c r="V36" s="97">
        <v>1</v>
      </c>
      <c r="W36" s="97">
        <v>25</v>
      </c>
      <c r="X36" s="97">
        <v>2.5</v>
      </c>
      <c r="Y36" s="50"/>
      <c r="Z36" s="50"/>
      <c r="AA36" s="96">
        <v>0.57999999999999996</v>
      </c>
      <c r="AB36" s="98">
        <v>6.7050000000000001</v>
      </c>
      <c r="AC36" s="98">
        <v>0.2235</v>
      </c>
      <c r="AD36" s="98">
        <v>9.3125</v>
      </c>
      <c r="AE36" s="98"/>
      <c r="AF36" s="114"/>
      <c r="AG36" s="97">
        <v>0.60130718954248363</v>
      </c>
      <c r="AH36" s="96">
        <v>0.15</v>
      </c>
      <c r="AI36" s="94">
        <f>(AA36+AA36*AG36)/(1+AG36*AH36)</f>
        <v>0.85191846522781778</v>
      </c>
      <c r="AJ36" s="55">
        <f>AI36-AA36+L36</f>
        <v>0.76191846522781781</v>
      </c>
      <c r="AK36" s="94"/>
      <c r="AL36" s="55">
        <f>($AJ36-$L36)/($L36-($AJ36)*$P36)</f>
        <v>0.72374131944444464</v>
      </c>
    </row>
    <row r="37" spans="2:38" ht="30.6" customHeight="1">
      <c r="D37" s="115"/>
      <c r="E37" s="115"/>
      <c r="F37" s="99" t="s">
        <v>899</v>
      </c>
      <c r="G37" s="99"/>
      <c r="H37" s="244" t="s">
        <v>683</v>
      </c>
      <c r="I37" s="93">
        <v>2013</v>
      </c>
      <c r="J37" s="95"/>
      <c r="K37" s="50"/>
      <c r="L37" s="114"/>
      <c r="M37" s="115"/>
      <c r="O37" s="114"/>
      <c r="Q37" s="114"/>
      <c r="R37" s="114"/>
      <c r="S37" s="114"/>
      <c r="Y37" s="50"/>
      <c r="Z37" s="50"/>
      <c r="AA37" s="55"/>
      <c r="AB37" s="114"/>
      <c r="AC37" s="114"/>
      <c r="AD37" s="114"/>
      <c r="AE37" s="114"/>
      <c r="AF37" s="114"/>
      <c r="AG37" s="114"/>
      <c r="AH37" s="96"/>
      <c r="AI37" s="94"/>
      <c r="AJ37" s="94"/>
      <c r="AK37" s="94"/>
      <c r="AL37" s="94"/>
    </row>
    <row r="38" spans="2:38" ht="30.6" customHeight="1">
      <c r="B38" s="50"/>
      <c r="C38" s="50"/>
      <c r="D38" s="95"/>
      <c r="E38" s="115"/>
      <c r="F38" s="99"/>
      <c r="G38" s="114" t="s">
        <v>881</v>
      </c>
      <c r="H38" s="244" t="s">
        <v>683</v>
      </c>
      <c r="I38" s="93">
        <v>2013</v>
      </c>
      <c r="J38" s="95"/>
      <c r="K38" s="50"/>
      <c r="L38" s="114"/>
      <c r="M38" s="114">
        <f>Emis!F11*CCS!$C$112/100</f>
        <v>51.255000000000003</v>
      </c>
      <c r="O38" s="114"/>
      <c r="Q38" s="114"/>
      <c r="R38" s="114"/>
      <c r="S38" s="114"/>
      <c r="T38" s="50"/>
      <c r="U38" s="50"/>
      <c r="V38" s="50"/>
      <c r="W38" s="50"/>
      <c r="X38" s="50"/>
      <c r="Y38" s="50"/>
      <c r="Z38" s="50"/>
      <c r="AA38" s="55"/>
      <c r="AB38" s="114"/>
      <c r="AC38" s="114"/>
      <c r="AD38" s="114"/>
      <c r="AE38" s="114"/>
      <c r="AF38" s="114"/>
      <c r="AG38" s="114"/>
      <c r="AH38" s="96"/>
      <c r="AI38" s="94"/>
      <c r="AJ38" s="94"/>
      <c r="AK38" s="94"/>
      <c r="AL38" s="94"/>
    </row>
    <row r="39" spans="2:38" ht="30.6" customHeight="1">
      <c r="B39" s="50"/>
      <c r="C39" s="50"/>
      <c r="D39" s="95"/>
      <c r="E39" s="115"/>
      <c r="F39" s="99"/>
      <c r="G39" s="116"/>
      <c r="H39" s="244" t="s">
        <v>683</v>
      </c>
      <c r="I39" s="95">
        <v>2020</v>
      </c>
      <c r="J39" s="95"/>
      <c r="K39" s="50"/>
      <c r="L39" s="96">
        <f>AA39-CCS!$M$111/100</f>
        <v>0.5</v>
      </c>
      <c r="M39" s="114"/>
      <c r="O39" s="97">
        <f>(AJ39-L39)/L39</f>
        <v>0.51435897435897449</v>
      </c>
      <c r="P39" s="96">
        <v>0.15</v>
      </c>
      <c r="Q39" s="98">
        <f>AB39+CCS!M$114/1000*7.45</f>
        <v>14.751000000000001</v>
      </c>
      <c r="R39" s="98">
        <f>Q39*CCS!D$119/100</f>
        <v>0.36877500000000007</v>
      </c>
      <c r="S39" s="98">
        <f>MAX(AD39, AD39+CCS!$L$120/3.6*7.45)</f>
        <v>9.1055555555555561</v>
      </c>
      <c r="T39" s="50"/>
      <c r="U39" s="50"/>
      <c r="V39" s="50"/>
      <c r="W39" s="50"/>
      <c r="X39" s="50"/>
      <c r="Y39" s="50"/>
      <c r="Z39" s="50"/>
      <c r="AA39" s="96">
        <v>0.59</v>
      </c>
      <c r="AB39" s="98">
        <v>6.556</v>
      </c>
      <c r="AC39" s="98">
        <v>0.21828500000000001</v>
      </c>
      <c r="AD39" s="98">
        <v>9.1055555555555561</v>
      </c>
      <c r="AE39" s="98"/>
      <c r="AF39" s="114"/>
      <c r="AG39" s="97">
        <v>0.55555555555555558</v>
      </c>
      <c r="AH39" s="96">
        <v>0.15</v>
      </c>
      <c r="AI39" s="94">
        <f>(AA39+AA39*AG39)/(1+AG39*AH39)</f>
        <v>0.84717948717948721</v>
      </c>
      <c r="AJ39" s="55">
        <f>AI39-AA39+L39</f>
        <v>0.75717948717948724</v>
      </c>
      <c r="AK39" s="94"/>
      <c r="AL39" s="55">
        <f>($AJ39-$L39)/($L39-($AJ39)*$P39)</f>
        <v>0.66553863508178246</v>
      </c>
    </row>
    <row r="40" spans="2:38" ht="30.6" customHeight="1">
      <c r="B40" s="50"/>
      <c r="C40" s="50"/>
      <c r="D40" s="95"/>
      <c r="E40" s="115"/>
      <c r="F40" s="95"/>
      <c r="G40" s="115"/>
      <c r="H40" s="244" t="s">
        <v>683</v>
      </c>
      <c r="I40" s="95">
        <v>2030</v>
      </c>
      <c r="J40" s="95"/>
      <c r="K40" s="50"/>
      <c r="L40" s="96">
        <f>AA40-CCS!$N$111/100</f>
        <v>0.52</v>
      </c>
      <c r="M40" s="114"/>
      <c r="O40" s="97">
        <f>(AJ40-L40)/L40</f>
        <v>0.46377459749552796</v>
      </c>
      <c r="P40" s="96">
        <v>0.15</v>
      </c>
      <c r="Q40" s="98">
        <f>AB40+CCS!N$114/1000*7.45</f>
        <v>13.260999999999999</v>
      </c>
      <c r="R40" s="98">
        <f>Q40*CCS!E$119/100</f>
        <v>0.33152499999999996</v>
      </c>
      <c r="S40" s="98">
        <f>MAX(AD40, AD40+CCS!$L$120/3.6*7.45)</f>
        <v>8.6916666666666664</v>
      </c>
      <c r="T40" s="50"/>
      <c r="U40" s="50"/>
      <c r="V40" s="50"/>
      <c r="W40" s="50"/>
      <c r="X40" s="50"/>
      <c r="Y40" s="50"/>
      <c r="Z40" s="50"/>
      <c r="AA40" s="96">
        <v>0.61</v>
      </c>
      <c r="AB40" s="98">
        <v>6.1834999999999996</v>
      </c>
      <c r="AC40" s="98">
        <v>0.20710999999999999</v>
      </c>
      <c r="AD40" s="98">
        <v>8.6916666666666664</v>
      </c>
      <c r="AE40" s="98"/>
      <c r="AF40" s="114"/>
      <c r="AG40" s="97">
        <v>0.5</v>
      </c>
      <c r="AH40" s="96">
        <v>0.15</v>
      </c>
      <c r="AI40" s="94">
        <f>(AA40+AA40*AG40)/(1+AG40*AH40)</f>
        <v>0.85116279069767453</v>
      </c>
      <c r="AJ40" s="55">
        <f>AI40-AA40+L40</f>
        <v>0.76116279069767456</v>
      </c>
      <c r="AK40" s="94"/>
      <c r="AL40" s="55">
        <f>($AJ40-$L40)/($L40-($AJ40)*$P40)</f>
        <v>0.59425231368728715</v>
      </c>
    </row>
    <row r="41" spans="2:38" ht="30.6" customHeight="1">
      <c r="B41" s="50"/>
      <c r="C41" s="50"/>
      <c r="D41" s="95"/>
      <c r="E41" s="115"/>
      <c r="F41" s="95"/>
      <c r="G41" s="115"/>
      <c r="H41" s="244" t="s">
        <v>683</v>
      </c>
      <c r="I41" s="95">
        <v>2050</v>
      </c>
      <c r="J41" s="95"/>
      <c r="K41" s="50"/>
      <c r="L41" s="96">
        <f>AA41-CCS!$P$111/100</f>
        <v>0.54</v>
      </c>
      <c r="M41" s="114"/>
      <c r="O41" s="97">
        <f>(AJ41-L41)/L41</f>
        <v>0.42198581560283693</v>
      </c>
      <c r="P41" s="96">
        <v>0.15</v>
      </c>
      <c r="Q41" s="98">
        <f>AB41+CCS!P$114/1000*7.45</f>
        <v>13.037500000000001</v>
      </c>
      <c r="R41" s="98">
        <f>Q41*CCS!G$119/100</f>
        <v>0.32593749999999999</v>
      </c>
      <c r="S41" s="98">
        <f>MAX(AD41, AD41+CCS!$L$120/3.6*7.45)</f>
        <v>8.2777777777777786</v>
      </c>
      <c r="T41" s="50"/>
      <c r="U41" s="50"/>
      <c r="V41" s="50"/>
      <c r="W41" s="50"/>
      <c r="X41" s="50"/>
      <c r="Y41" s="50"/>
      <c r="Z41" s="50"/>
      <c r="AA41" s="96">
        <v>0.63</v>
      </c>
      <c r="AB41" s="98">
        <v>5.9600000000000009</v>
      </c>
      <c r="AC41" s="98">
        <v>0.19370000000000001</v>
      </c>
      <c r="AD41" s="98">
        <v>8.2777777777777786</v>
      </c>
      <c r="AE41" s="98"/>
      <c r="AF41" s="114"/>
      <c r="AG41" s="97">
        <v>0.45454545454545453</v>
      </c>
      <c r="AH41" s="96">
        <v>0.15</v>
      </c>
      <c r="AI41" s="94">
        <f>(AA41+AA41*AG41)/(1+AG41*AH41)</f>
        <v>0.85787234042553195</v>
      </c>
      <c r="AJ41" s="55">
        <f>AI41-AA41+L41</f>
        <v>0.76787234042553199</v>
      </c>
      <c r="AK41" s="94"/>
      <c r="AL41" s="55">
        <f>($AJ41-$L41)/($L41-($AJ41)*$P41)</f>
        <v>0.53639846743295028</v>
      </c>
    </row>
    <row r="42" spans="2:38" ht="30.6" customHeight="1">
      <c r="B42" s="95" t="s">
        <v>333</v>
      </c>
      <c r="C42" s="95" t="s">
        <v>200</v>
      </c>
      <c r="D42" s="95" t="s">
        <v>183</v>
      </c>
      <c r="E42" s="115"/>
      <c r="F42" s="99" t="s">
        <v>17</v>
      </c>
      <c r="G42" s="99"/>
      <c r="H42" s="244" t="s">
        <v>683</v>
      </c>
      <c r="I42" s="95">
        <v>2013</v>
      </c>
      <c r="J42" s="114">
        <v>2030</v>
      </c>
      <c r="K42" s="50"/>
      <c r="L42" s="96">
        <f>AA42-CCS!$L$51/100</f>
        <v>0.17899999999999999</v>
      </c>
      <c r="M42" s="50"/>
      <c r="N42" s="97">
        <f>AL42</f>
        <v>4.7486033519553068</v>
      </c>
      <c r="O42" s="50"/>
      <c r="P42" s="50"/>
      <c r="Q42" s="98">
        <f>AB42+CCS!L$54/1000*7.45</f>
        <v>35.76</v>
      </c>
      <c r="R42" s="98">
        <f>Q42*CCS!C$59/100</f>
        <v>0.89399999999999991</v>
      </c>
      <c r="S42" s="98">
        <f>AD42+CCS!$L$60/3.6*7.45</f>
        <v>11.795833333333333</v>
      </c>
      <c r="T42" s="97">
        <v>3.1536000000000002E-2</v>
      </c>
      <c r="U42" s="97">
        <v>0.9</v>
      </c>
      <c r="V42" s="97">
        <v>1</v>
      </c>
      <c r="W42" s="97">
        <v>25</v>
      </c>
      <c r="X42" s="97">
        <v>1</v>
      </c>
      <c r="Y42" s="50"/>
      <c r="Z42" s="50"/>
      <c r="AA42" s="96">
        <v>0.28899999999999998</v>
      </c>
      <c r="AB42" s="115">
        <v>25.33</v>
      </c>
      <c r="AC42" s="115">
        <v>0.44700000000000001</v>
      </c>
      <c r="AD42" s="115">
        <v>7.863888888888888</v>
      </c>
      <c r="AE42" s="115"/>
      <c r="AF42" s="115">
        <v>2.9411764705882351</v>
      </c>
      <c r="AG42" s="115"/>
      <c r="AI42" s="94">
        <f>(AA42+AA42*AF42)/(1+AF42*AH42)</f>
        <v>1.1389999999999998</v>
      </c>
      <c r="AJ42" s="55">
        <f>AI42-AA42+L42</f>
        <v>1.0289999999999999</v>
      </c>
      <c r="AK42" s="94"/>
      <c r="AL42" s="55">
        <f>($AJ42-$L42)/($L42-($AJ42)*$P42)</f>
        <v>4.7486033519553068</v>
      </c>
    </row>
    <row r="43" spans="2:38" ht="30.6" customHeight="1">
      <c r="B43" s="94"/>
      <c r="C43" s="94"/>
      <c r="D43" s="95"/>
      <c r="E43" s="115"/>
      <c r="F43" s="99" t="s">
        <v>899</v>
      </c>
      <c r="G43" s="99"/>
      <c r="H43" s="244" t="s">
        <v>683</v>
      </c>
      <c r="I43" s="93">
        <v>2013</v>
      </c>
      <c r="J43" s="95"/>
      <c r="K43" s="95"/>
      <c r="L43" s="114"/>
      <c r="M43" s="95"/>
      <c r="N43" s="95"/>
      <c r="O43" s="95"/>
      <c r="P43" s="95"/>
      <c r="Q43" s="114"/>
      <c r="R43" s="114"/>
      <c r="S43" s="114"/>
      <c r="T43" s="95"/>
      <c r="U43" s="95"/>
      <c r="V43" s="95"/>
      <c r="W43" s="95"/>
      <c r="X43" s="95"/>
      <c r="Y43" s="50"/>
      <c r="Z43" s="50"/>
      <c r="AA43" s="96"/>
      <c r="AB43" s="115"/>
      <c r="AC43" s="115"/>
      <c r="AD43" s="115"/>
      <c r="AE43" s="115"/>
      <c r="AF43" s="115"/>
      <c r="AG43" s="115"/>
      <c r="AI43" s="94"/>
      <c r="AJ43" s="94"/>
      <c r="AK43" s="94"/>
      <c r="AL43" s="94"/>
    </row>
    <row r="44" spans="2:38" ht="30.6" customHeight="1">
      <c r="B44" s="95"/>
      <c r="C44" s="95"/>
      <c r="D44" s="95"/>
      <c r="E44" s="115"/>
      <c r="F44" s="99"/>
      <c r="G44" s="114" t="s">
        <v>879</v>
      </c>
      <c r="H44" s="244" t="s">
        <v>683</v>
      </c>
      <c r="I44" s="93">
        <v>2013</v>
      </c>
      <c r="J44" s="95"/>
      <c r="K44" s="95"/>
      <c r="L44" s="114"/>
      <c r="M44" s="114">
        <f>Emis!C11*CCS!$C$52/100</f>
        <v>82.301999999999992</v>
      </c>
      <c r="N44" s="94"/>
      <c r="O44" s="95"/>
      <c r="P44" s="95"/>
      <c r="Q44" s="114"/>
      <c r="R44" s="114"/>
      <c r="S44" s="114"/>
      <c r="T44" s="95"/>
      <c r="U44" s="95"/>
      <c r="V44" s="95"/>
      <c r="W44" s="95"/>
      <c r="X44" s="95"/>
      <c r="Y44" s="50"/>
      <c r="Z44" s="50"/>
      <c r="AA44" s="96"/>
      <c r="AB44" s="115"/>
      <c r="AC44" s="115"/>
      <c r="AD44" s="115"/>
      <c r="AE44" s="115"/>
      <c r="AF44" s="94"/>
      <c r="AG44" s="115"/>
      <c r="AI44" s="94"/>
      <c r="AJ44" s="94"/>
      <c r="AK44" s="94"/>
      <c r="AL44" s="94"/>
    </row>
    <row r="45" spans="2:38" ht="30.6" customHeight="1">
      <c r="B45" s="50"/>
      <c r="C45" s="50"/>
      <c r="D45" s="95"/>
      <c r="E45" s="115"/>
      <c r="F45" s="99"/>
      <c r="G45" s="116"/>
      <c r="H45" s="244" t="s">
        <v>683</v>
      </c>
      <c r="I45" s="95">
        <v>2020</v>
      </c>
      <c r="J45" s="95"/>
      <c r="K45" s="50"/>
      <c r="L45" s="96">
        <f>AA45-CCS!$M$51/100</f>
        <v>0.18</v>
      </c>
      <c r="M45" s="114"/>
      <c r="N45" s="97">
        <f>AL45</f>
        <v>4.7385620915032671</v>
      </c>
      <c r="O45" s="95"/>
      <c r="P45" s="95"/>
      <c r="Q45" s="98">
        <f>AB45+CCS!M$54/1000*7.45</f>
        <v>32.78</v>
      </c>
      <c r="R45" s="98">
        <f>Q45*CCS!D$59/100</f>
        <v>0.81950000000000001</v>
      </c>
      <c r="S45" s="98">
        <f>AD45+CCS!$M$60/3.6*7.45</f>
        <v>11.795833333333333</v>
      </c>
      <c r="T45" s="97"/>
      <c r="U45" s="97"/>
      <c r="V45" s="97"/>
      <c r="W45" s="97"/>
      <c r="X45" s="97"/>
      <c r="Y45" s="50"/>
      <c r="Z45" s="50"/>
      <c r="AA45" s="96">
        <v>0.28999999999999998</v>
      </c>
      <c r="AB45" s="115">
        <v>24.585000000000001</v>
      </c>
      <c r="AC45" s="115">
        <v>0.44700000000000001</v>
      </c>
      <c r="AD45" s="115">
        <v>7.863888888888888</v>
      </c>
      <c r="AE45" s="115"/>
      <c r="AF45" s="115">
        <v>2.9411764705882351</v>
      </c>
      <c r="AG45" s="115"/>
      <c r="AI45" s="94">
        <f>(AA45+AA45*AF45)/(1+AF45*AH45)</f>
        <v>1.1429411764705881</v>
      </c>
      <c r="AJ45" s="55">
        <f>AI45-AA45+L45</f>
        <v>1.032941176470588</v>
      </c>
      <c r="AK45" s="94"/>
      <c r="AL45" s="55">
        <f>($AJ45-$L45)/($L45-($AJ45)*$P45)</f>
        <v>4.7385620915032671</v>
      </c>
    </row>
    <row r="46" spans="2:38" ht="30.6" customHeight="1">
      <c r="B46" s="50"/>
      <c r="C46" s="50"/>
      <c r="D46" s="95"/>
      <c r="E46" s="115"/>
      <c r="F46" s="95"/>
      <c r="G46" s="115"/>
      <c r="H46" s="244" t="s">
        <v>683</v>
      </c>
      <c r="I46" s="95">
        <v>2030</v>
      </c>
      <c r="J46" s="95"/>
      <c r="K46" s="50"/>
      <c r="L46" s="96">
        <f>AA46-CCS!$N$51/100</f>
        <v>0.19099999999999998</v>
      </c>
      <c r="M46" s="114"/>
      <c r="N46" s="97">
        <f>AL46</f>
        <v>4.4810594394825998</v>
      </c>
      <c r="O46" s="95"/>
      <c r="P46" s="95"/>
      <c r="Q46" s="98">
        <f>AB46+CCS!N$54/1000*7.45</f>
        <v>30.172500000000003</v>
      </c>
      <c r="R46" s="98">
        <f>Q46*CCS!E$59/100</f>
        <v>0.75431250000000005</v>
      </c>
      <c r="S46" s="98">
        <f>AD46+CCS!$N$60/3.6*7.45</f>
        <v>11.795833333333333</v>
      </c>
      <c r="T46" s="50"/>
      <c r="U46" s="50"/>
      <c r="V46" s="50"/>
      <c r="W46" s="50"/>
      <c r="X46" s="50"/>
      <c r="Y46" s="50"/>
      <c r="Z46" s="50"/>
      <c r="AA46" s="96">
        <v>0.29099999999999998</v>
      </c>
      <c r="AB46" s="115">
        <v>23.095000000000002</v>
      </c>
      <c r="AC46" s="115">
        <v>0.3725</v>
      </c>
      <c r="AD46" s="115">
        <v>7.863888888888888</v>
      </c>
      <c r="AE46" s="115"/>
      <c r="AF46" s="115">
        <v>2.9411764705882351</v>
      </c>
      <c r="AG46" s="115"/>
      <c r="AI46" s="94">
        <f>(AA46+AA46*AF46)/(1+AF46*AH46)</f>
        <v>1.1468823529411762</v>
      </c>
      <c r="AJ46" s="55">
        <f>AI46-AA46+L46</f>
        <v>1.0468823529411764</v>
      </c>
      <c r="AK46" s="94"/>
      <c r="AL46" s="55">
        <f>($AJ46-$L46)/($L46-($AJ46)*$P46)</f>
        <v>4.4810594394825998</v>
      </c>
    </row>
    <row r="47" spans="2:38" ht="30.6" customHeight="1">
      <c r="B47" s="50"/>
      <c r="C47" s="50"/>
      <c r="D47" s="95"/>
      <c r="E47" s="115"/>
      <c r="F47" s="95"/>
      <c r="G47" s="115"/>
      <c r="H47" s="244" t="s">
        <v>683</v>
      </c>
      <c r="I47" s="95">
        <v>2050</v>
      </c>
      <c r="J47" s="95"/>
      <c r="K47" s="50"/>
      <c r="L47" s="96">
        <f>AA47-CCS!$P$51/100</f>
        <v>0.19099999999999998</v>
      </c>
      <c r="M47" s="114"/>
      <c r="N47" s="97">
        <f>AL47</f>
        <v>4.4810594394825998</v>
      </c>
      <c r="O47" s="95"/>
      <c r="P47" s="95"/>
      <c r="Q47" s="98">
        <f>AB47+CCS!P$54/1000*7.45</f>
        <v>27.9375</v>
      </c>
      <c r="R47" s="98">
        <f>Q47*CCS!G$59/100</f>
        <v>0.69843750000000004</v>
      </c>
      <c r="S47" s="98">
        <f>AD47+CCS!$P$60/3.6*7.45</f>
        <v>11.795833333333333</v>
      </c>
      <c r="T47" s="50"/>
      <c r="U47" s="50"/>
      <c r="V47" s="50"/>
      <c r="W47" s="50"/>
      <c r="X47" s="50"/>
      <c r="Y47" s="50"/>
      <c r="Z47" s="50"/>
      <c r="AA47" s="96">
        <v>0.29099999999999998</v>
      </c>
      <c r="AB47" s="115">
        <v>20.86</v>
      </c>
      <c r="AC47" s="115">
        <v>0.3725</v>
      </c>
      <c r="AD47" s="115">
        <v>7.863888888888888</v>
      </c>
      <c r="AE47" s="115"/>
      <c r="AF47" s="115">
        <v>2.9411764705882351</v>
      </c>
      <c r="AG47" s="115"/>
      <c r="AI47" s="94">
        <f>(AA47+AA47*AF47)/(1+AF47*AH47)</f>
        <v>1.1468823529411762</v>
      </c>
      <c r="AJ47" s="55">
        <f>AI47-AA47+L47</f>
        <v>1.0468823529411764</v>
      </c>
      <c r="AK47" s="94"/>
      <c r="AL47" s="55">
        <f>($AJ47-$L47)/($L47-($AJ47)*$P47)</f>
        <v>4.4810594394825998</v>
      </c>
    </row>
    <row r="48" spans="2:38" s="94" customFormat="1" ht="30.6" customHeight="1">
      <c r="B48" s="115" t="s">
        <v>201</v>
      </c>
      <c r="C48" s="115" t="s">
        <v>202</v>
      </c>
      <c r="D48" s="115" t="s">
        <v>23</v>
      </c>
      <c r="E48" s="115"/>
      <c r="F48" s="116" t="s">
        <v>17</v>
      </c>
      <c r="G48" s="116"/>
      <c r="H48" s="244" t="s">
        <v>683</v>
      </c>
      <c r="I48" s="115">
        <v>2013</v>
      </c>
      <c r="J48" s="114">
        <v>2030</v>
      </c>
      <c r="K48" s="115"/>
      <c r="L48" s="96">
        <f>AA48-CCS!$L$51/100</f>
        <v>0.2</v>
      </c>
      <c r="M48" s="115"/>
      <c r="N48" s="97">
        <f>AL48</f>
        <v>3.5227272727272672</v>
      </c>
      <c r="O48" s="115"/>
      <c r="P48" s="115"/>
      <c r="Q48" s="98">
        <f>AB48+CCS!L$54/1000*7.45</f>
        <v>30.545000000000002</v>
      </c>
      <c r="R48" s="98">
        <f>Q48*CCS!C$59/100</f>
        <v>0.76362500000000011</v>
      </c>
      <c r="S48" s="98">
        <f>AD48+CCS!$L$60/3.6*7.45</f>
        <v>7.8638888888888889</v>
      </c>
      <c r="T48" s="97">
        <v>3.1536000000000002E-2</v>
      </c>
      <c r="U48" s="97">
        <v>0.9</v>
      </c>
      <c r="V48" s="97">
        <v>1</v>
      </c>
      <c r="W48" s="97">
        <v>25</v>
      </c>
      <c r="X48" s="97">
        <v>1</v>
      </c>
      <c r="Y48" s="115"/>
      <c r="Z48" s="115"/>
      <c r="AA48" s="55">
        <v>0.31</v>
      </c>
      <c r="AB48" s="115">
        <v>20.115000000000002</v>
      </c>
      <c r="AC48" s="115">
        <v>0.89400000000000002</v>
      </c>
      <c r="AD48" s="115">
        <v>3.931944444444444</v>
      </c>
      <c r="AE48" s="115"/>
      <c r="AF48" s="115">
        <v>2.2727272727272698</v>
      </c>
      <c r="AG48" s="115"/>
      <c r="AI48" s="94">
        <f>(AA48+AA48*AF48)/(1+AF48*AH48)</f>
        <v>1.0145454545454535</v>
      </c>
      <c r="AJ48" s="55">
        <f>AI48-AA48+L48</f>
        <v>0.90454545454545343</v>
      </c>
      <c r="AL48" s="55">
        <f>($AJ48-$L48)/($L48-($AJ48)*$P48)</f>
        <v>3.5227272727272672</v>
      </c>
    </row>
    <row r="49" spans="2:38" s="94" customFormat="1" ht="30.6" customHeight="1">
      <c r="D49" s="95"/>
      <c r="E49" s="115"/>
      <c r="F49" s="99" t="s">
        <v>899</v>
      </c>
      <c r="G49" s="99"/>
      <c r="H49" s="244" t="s">
        <v>683</v>
      </c>
      <c r="I49" s="93">
        <v>2013</v>
      </c>
      <c r="J49" s="95"/>
      <c r="K49" s="95"/>
      <c r="L49" s="114"/>
      <c r="M49" s="95"/>
      <c r="N49" s="115"/>
      <c r="O49" s="95"/>
      <c r="P49" s="95"/>
      <c r="Q49" s="114"/>
      <c r="R49" s="114"/>
      <c r="S49" s="114"/>
      <c r="T49" s="95"/>
      <c r="U49" s="95"/>
      <c r="V49" s="95"/>
      <c r="W49" s="95"/>
      <c r="X49" s="95"/>
      <c r="Y49" s="95"/>
      <c r="Z49" s="95"/>
      <c r="AA49" s="55"/>
      <c r="AB49" s="115"/>
      <c r="AC49" s="115"/>
      <c r="AD49" s="115"/>
      <c r="AE49" s="115"/>
      <c r="AF49" s="115"/>
      <c r="AG49" s="115"/>
    </row>
    <row r="50" spans="2:38" s="94" customFormat="1" ht="30.6" customHeight="1">
      <c r="D50" s="95"/>
      <c r="E50" s="115"/>
      <c r="F50" s="99"/>
      <c r="G50" s="114" t="s">
        <v>879</v>
      </c>
      <c r="H50" s="244" t="s">
        <v>683</v>
      </c>
      <c r="I50" s="93">
        <v>2013</v>
      </c>
      <c r="J50" s="95"/>
      <c r="K50" s="95"/>
      <c r="L50" s="114"/>
      <c r="M50" s="114">
        <f>Emis!C11*CCS!$C$52/100</f>
        <v>82.301999999999992</v>
      </c>
      <c r="O50" s="95"/>
      <c r="P50" s="95"/>
      <c r="Q50" s="114"/>
      <c r="R50" s="114"/>
      <c r="S50" s="114"/>
      <c r="T50" s="95"/>
      <c r="U50" s="95"/>
      <c r="V50" s="95"/>
      <c r="W50" s="95"/>
      <c r="X50" s="95"/>
      <c r="Y50" s="95"/>
      <c r="Z50" s="95"/>
      <c r="AA50" s="55"/>
      <c r="AB50" s="115"/>
      <c r="AC50" s="115"/>
      <c r="AD50" s="115"/>
      <c r="AE50" s="115"/>
      <c r="AG50" s="115"/>
    </row>
    <row r="51" spans="2:38" ht="30.6" customHeight="1">
      <c r="D51" s="95"/>
      <c r="E51" s="115"/>
      <c r="F51" s="99"/>
      <c r="G51" s="116"/>
      <c r="H51" s="244" t="s">
        <v>683</v>
      </c>
      <c r="I51" s="95">
        <v>2020</v>
      </c>
      <c r="J51" s="95"/>
      <c r="K51" s="95"/>
      <c r="L51" s="96">
        <f>AA51-CCS!$M$51/100</f>
        <v>0.2</v>
      </c>
      <c r="M51" s="114"/>
      <c r="N51" s="97">
        <f>AL51</f>
        <v>3.5227272727272729</v>
      </c>
      <c r="O51" s="95"/>
      <c r="P51" s="95"/>
      <c r="Q51" s="98">
        <f>AB51+CCS!M$54/1000*7.45</f>
        <v>27.565000000000001</v>
      </c>
      <c r="R51" s="98">
        <f>Q51*CCS!D$59/100</f>
        <v>0.6891250000000001</v>
      </c>
      <c r="S51" s="98">
        <f>AD51+CCS!$M$60/3.6*7.45</f>
        <v>7.8638888888888889</v>
      </c>
      <c r="T51" s="97"/>
      <c r="U51" s="97"/>
      <c r="V51" s="97"/>
      <c r="W51" s="97"/>
      <c r="X51" s="97"/>
      <c r="Y51" s="50"/>
      <c r="Z51" s="50"/>
      <c r="AA51" s="55">
        <v>0.31</v>
      </c>
      <c r="AB51" s="115">
        <v>19.37</v>
      </c>
      <c r="AC51" s="115">
        <v>0.89400000000000002</v>
      </c>
      <c r="AD51" s="115">
        <v>3.931944444444444</v>
      </c>
      <c r="AE51" s="115"/>
      <c r="AF51" s="115">
        <v>2.2727272727272729</v>
      </c>
      <c r="AG51" s="115"/>
      <c r="AI51" s="94">
        <f>(AA51+AA51*AF51)/(1+AF51*AH51)</f>
        <v>1.0145454545454546</v>
      </c>
      <c r="AJ51" s="55">
        <f>AI51-AA51+L51</f>
        <v>0.90454545454545454</v>
      </c>
      <c r="AK51" s="94"/>
      <c r="AL51" s="55">
        <f>($AJ51-$L51)/($L51-($AJ51)*$P51)</f>
        <v>3.5227272727272729</v>
      </c>
    </row>
    <row r="52" spans="2:38" s="94" customFormat="1" ht="30.6" customHeight="1">
      <c r="B52" s="50"/>
      <c r="C52" s="50"/>
      <c r="D52" s="95"/>
      <c r="E52" s="115"/>
      <c r="F52" s="95"/>
      <c r="G52" s="115"/>
      <c r="H52" s="244" t="s">
        <v>683</v>
      </c>
      <c r="I52" s="95">
        <v>2030</v>
      </c>
      <c r="J52" s="95"/>
      <c r="K52" s="95"/>
      <c r="L52" s="96">
        <f>AA52-CCS!$N$51/100</f>
        <v>0.21099999999999999</v>
      </c>
      <c r="M52" s="114"/>
      <c r="N52" s="97">
        <f>AL52</f>
        <v>3.275408109531333</v>
      </c>
      <c r="O52" s="95"/>
      <c r="P52" s="95"/>
      <c r="Q52" s="98">
        <f>AB52+CCS!N$54/1000*7.45</f>
        <v>25.702500000000001</v>
      </c>
      <c r="R52" s="98">
        <f>Q52*CCS!E$59/100</f>
        <v>0.64256249999999993</v>
      </c>
      <c r="S52" s="98">
        <f>AD52+CCS!$N$60/3.6*7.45</f>
        <v>7.8638888888888889</v>
      </c>
      <c r="T52" s="95"/>
      <c r="U52" s="95"/>
      <c r="V52" s="95"/>
      <c r="W52" s="95"/>
      <c r="X52" s="95"/>
      <c r="Y52" s="95"/>
      <c r="Z52" s="95"/>
      <c r="AA52" s="55">
        <v>0.311</v>
      </c>
      <c r="AB52" s="115">
        <v>18.625</v>
      </c>
      <c r="AC52" s="115">
        <v>0.81950000000000001</v>
      </c>
      <c r="AD52" s="115">
        <v>3.931944444444444</v>
      </c>
      <c r="AE52" s="115"/>
      <c r="AF52" s="115">
        <v>2.2222222222222223</v>
      </c>
      <c r="AG52" s="115"/>
      <c r="AI52" s="94">
        <f>(AA52+AA52*AF52)/(1+AF52*AH52)</f>
        <v>1.0021111111111112</v>
      </c>
      <c r="AJ52" s="55">
        <f>AI52-AA52+L52</f>
        <v>0.9021111111111112</v>
      </c>
      <c r="AL52" s="55">
        <f>($AJ52-$L52)/($L52-($AJ52)*$P52)</f>
        <v>3.275408109531333</v>
      </c>
    </row>
    <row r="53" spans="2:38" s="94" customFormat="1" ht="30.6" customHeight="1">
      <c r="B53" s="50"/>
      <c r="C53" s="50"/>
      <c r="D53" s="95"/>
      <c r="E53" s="115"/>
      <c r="F53" s="95"/>
      <c r="G53" s="115"/>
      <c r="H53" s="244" t="s">
        <v>683</v>
      </c>
      <c r="I53" s="95">
        <v>2050</v>
      </c>
      <c r="J53" s="95"/>
      <c r="K53" s="95"/>
      <c r="L53" s="96">
        <f>AA53-CCS!$P$51/100</f>
        <v>0.21099999999999999</v>
      </c>
      <c r="M53" s="114"/>
      <c r="N53" s="97">
        <f>AL53</f>
        <v>3.275408109531333</v>
      </c>
      <c r="O53" s="95"/>
      <c r="P53" s="95"/>
      <c r="Q53" s="98">
        <f>AB53+CCS!P$54/1000*7.45</f>
        <v>24.212499999999999</v>
      </c>
      <c r="R53" s="98">
        <f>Q53*CCS!G$59/100</f>
        <v>0.60531250000000003</v>
      </c>
      <c r="S53" s="98">
        <f>AD53+CCS!$P$60/3.6*7.45</f>
        <v>7.8638888888888889</v>
      </c>
      <c r="T53" s="95"/>
      <c r="U53" s="95"/>
      <c r="V53" s="95"/>
      <c r="W53" s="95"/>
      <c r="X53" s="95"/>
      <c r="Y53" s="95"/>
      <c r="Z53" s="95"/>
      <c r="AA53" s="55">
        <v>0.311</v>
      </c>
      <c r="AB53" s="115">
        <v>17.134999999999998</v>
      </c>
      <c r="AC53" s="115">
        <v>0.745</v>
      </c>
      <c r="AD53" s="115">
        <v>3.931944444444444</v>
      </c>
      <c r="AE53" s="115"/>
      <c r="AF53" s="115">
        <v>2.2222222222222223</v>
      </c>
      <c r="AG53" s="115"/>
      <c r="AI53" s="94">
        <f>(AA53+AA53*AF53)/(1+AF53*AH53)</f>
        <v>1.0021111111111112</v>
      </c>
      <c r="AJ53" s="55">
        <f>AI53-AA53+L53</f>
        <v>0.9021111111111112</v>
      </c>
      <c r="AL53" s="55">
        <f>($AJ53-$L53)/($L53-($AJ53)*$P53)</f>
        <v>3.275408109531333</v>
      </c>
    </row>
    <row r="54" spans="2:38" ht="30.6" customHeight="1">
      <c r="B54" s="95" t="s">
        <v>334</v>
      </c>
      <c r="C54" s="95" t="s">
        <v>203</v>
      </c>
      <c r="D54" s="115" t="s">
        <v>183</v>
      </c>
      <c r="E54" s="115"/>
      <c r="F54" s="99" t="s">
        <v>17</v>
      </c>
      <c r="G54" s="99"/>
      <c r="H54" s="244" t="s">
        <v>683</v>
      </c>
      <c r="I54" s="95">
        <v>2013</v>
      </c>
      <c r="J54" s="114">
        <v>2030</v>
      </c>
      <c r="K54" s="95"/>
      <c r="L54" s="96">
        <f>AA54-CCS!$L$111/100</f>
        <v>0.19899999999999998</v>
      </c>
      <c r="M54" s="95"/>
      <c r="N54" s="97">
        <f>AL54</f>
        <v>4.2713567839196065</v>
      </c>
      <c r="O54" s="95"/>
      <c r="P54" s="95"/>
      <c r="Q54" s="98">
        <f>AB54+CCS!L$114/1000*7.45</f>
        <v>35.76</v>
      </c>
      <c r="R54" s="98">
        <f>Q54*CCS!C$119/100</f>
        <v>0.89399999999999991</v>
      </c>
      <c r="S54" s="98">
        <f>MAX(AD54, AD54+CCS!$L$120/3.6*7.45)</f>
        <v>7.863888888888888</v>
      </c>
      <c r="T54" s="97">
        <v>3.1536000000000002E-2</v>
      </c>
      <c r="U54" s="97">
        <v>0.9</v>
      </c>
      <c r="V54" s="97">
        <v>1</v>
      </c>
      <c r="W54" s="97">
        <v>25</v>
      </c>
      <c r="X54" s="97">
        <v>1</v>
      </c>
      <c r="Y54" s="50"/>
      <c r="Z54" s="50"/>
      <c r="AA54" s="96">
        <v>0.28899999999999998</v>
      </c>
      <c r="AB54" s="115">
        <v>25.33</v>
      </c>
      <c r="AC54" s="115">
        <v>0.44700000000000001</v>
      </c>
      <c r="AD54" s="115">
        <v>7.863888888888888</v>
      </c>
      <c r="AE54" s="115"/>
      <c r="AF54" s="115">
        <v>2.9411764705882399</v>
      </c>
      <c r="AG54" s="115"/>
      <c r="AH54" s="94"/>
      <c r="AI54" s="94">
        <f>(AA54+AA54*AF54)/(1+AF54*AH54)</f>
        <v>1.1390000000000013</v>
      </c>
      <c r="AJ54" s="55">
        <f>AI54-AA54+L54</f>
        <v>1.0490000000000015</v>
      </c>
      <c r="AK54" s="94"/>
      <c r="AL54" s="55">
        <f>($AJ54-$L54)/($L54-($AJ54)*$P54)</f>
        <v>4.2713567839196065</v>
      </c>
    </row>
    <row r="55" spans="2:38" s="94" customFormat="1" ht="30.6" customHeight="1">
      <c r="D55" s="95"/>
      <c r="E55" s="115"/>
      <c r="F55" s="99" t="s">
        <v>899</v>
      </c>
      <c r="G55" s="99"/>
      <c r="H55" s="244" t="s">
        <v>683</v>
      </c>
      <c r="I55" s="93">
        <v>2013</v>
      </c>
      <c r="J55" s="95"/>
      <c r="K55" s="95"/>
      <c r="L55" s="114"/>
      <c r="M55" s="95"/>
      <c r="N55" s="115"/>
      <c r="O55" s="95"/>
      <c r="P55" s="95"/>
      <c r="Q55" s="114"/>
      <c r="R55" s="114"/>
      <c r="S55" s="114"/>
      <c r="T55" s="95"/>
      <c r="U55" s="95"/>
      <c r="V55" s="95"/>
      <c r="W55" s="95"/>
      <c r="X55" s="95"/>
      <c r="Y55" s="95"/>
      <c r="Z55" s="95"/>
      <c r="AA55" s="96"/>
      <c r="AB55" s="115"/>
      <c r="AC55" s="115"/>
      <c r="AD55" s="115"/>
      <c r="AE55" s="115"/>
      <c r="AF55" s="115"/>
      <c r="AG55" s="115"/>
    </row>
    <row r="56" spans="2:38" s="94" customFormat="1" ht="30.6" customHeight="1">
      <c r="D56" s="95"/>
      <c r="E56" s="115"/>
      <c r="F56" s="99"/>
      <c r="G56" s="114" t="s">
        <v>879</v>
      </c>
      <c r="H56" s="244" t="s">
        <v>683</v>
      </c>
      <c r="I56" s="93">
        <v>2013</v>
      </c>
      <c r="J56" s="95"/>
      <c r="K56" s="95"/>
      <c r="L56" s="114"/>
      <c r="M56" s="114">
        <f>Emis!C11*CCS!$C$112/100</f>
        <v>85.14</v>
      </c>
      <c r="O56" s="95"/>
      <c r="P56" s="95"/>
      <c r="Q56" s="114"/>
      <c r="R56" s="114"/>
      <c r="S56" s="114"/>
      <c r="T56" s="95"/>
      <c r="U56" s="95"/>
      <c r="V56" s="95"/>
      <c r="W56" s="95"/>
      <c r="X56" s="95"/>
      <c r="Y56" s="95"/>
      <c r="Z56" s="95"/>
      <c r="AA56" s="96"/>
      <c r="AB56" s="115"/>
      <c r="AC56" s="115"/>
      <c r="AD56" s="115"/>
      <c r="AE56" s="115"/>
      <c r="AG56" s="115"/>
    </row>
    <row r="57" spans="2:38" ht="30.6" customHeight="1">
      <c r="B57" s="50"/>
      <c r="C57" s="50"/>
      <c r="D57" s="95"/>
      <c r="E57" s="115"/>
      <c r="F57" s="99"/>
      <c r="G57" s="116"/>
      <c r="H57" s="244" t="s">
        <v>683</v>
      </c>
      <c r="I57" s="95">
        <v>2020</v>
      </c>
      <c r="J57" s="95"/>
      <c r="K57" s="95"/>
      <c r="L57" s="96">
        <f>AA57-CCS!$M$111/100</f>
        <v>0.19999999999999998</v>
      </c>
      <c r="M57" s="114"/>
      <c r="N57" s="97">
        <f>AL57</f>
        <v>4.2647058823529411</v>
      </c>
      <c r="O57" s="95"/>
      <c r="P57" s="95"/>
      <c r="Q57" s="98">
        <f>AB57+CCS!M$114/1000*7.45</f>
        <v>32.78</v>
      </c>
      <c r="R57" s="98">
        <f>Q57*CCS!D$119/100</f>
        <v>0.81950000000000001</v>
      </c>
      <c r="S57" s="98">
        <f>MAX(AD57, AD57+CCS!$L$120/3.6*7.45)</f>
        <v>7.863888888888888</v>
      </c>
      <c r="T57" s="97"/>
      <c r="U57" s="97"/>
      <c r="V57" s="97"/>
      <c r="W57" s="97"/>
      <c r="X57" s="97"/>
      <c r="Y57" s="50"/>
      <c r="Z57" s="50"/>
      <c r="AA57" s="96">
        <v>0.28999999999999998</v>
      </c>
      <c r="AB57" s="115">
        <v>24.585000000000001</v>
      </c>
      <c r="AC57" s="115">
        <v>0.44700000000000001</v>
      </c>
      <c r="AD57" s="115">
        <v>7.863888888888888</v>
      </c>
      <c r="AE57" s="115"/>
      <c r="AF57" s="115">
        <v>2.9411764705882351</v>
      </c>
      <c r="AG57" s="115"/>
      <c r="AH57" s="94"/>
      <c r="AI57" s="94">
        <f>(AA57+AA57*AF57)/(1+AF57*AH57)</f>
        <v>1.1429411764705881</v>
      </c>
      <c r="AJ57" s="55">
        <f>AI57-AA57+L57</f>
        <v>1.052941176470588</v>
      </c>
      <c r="AK57" s="94"/>
      <c r="AL57" s="55">
        <f>($AJ57-$L57)/($L57-($AJ57)*$P57)</f>
        <v>4.2647058823529411</v>
      </c>
    </row>
    <row r="58" spans="2:38" s="94" customFormat="1" ht="30.6" customHeight="1">
      <c r="B58" s="50"/>
      <c r="C58" s="50"/>
      <c r="D58" s="95"/>
      <c r="E58" s="115"/>
      <c r="F58" s="95"/>
      <c r="G58" s="115"/>
      <c r="H58" s="244" t="s">
        <v>683</v>
      </c>
      <c r="I58" s="95">
        <v>2030</v>
      </c>
      <c r="J58" s="95"/>
      <c r="K58" s="95"/>
      <c r="L58" s="96">
        <f>AA58-CCS!$N$111/100</f>
        <v>0.20099999999999998</v>
      </c>
      <c r="M58" s="114"/>
      <c r="N58" s="97">
        <f>AL58</f>
        <v>4.2581211589113259</v>
      </c>
      <c r="O58" s="95"/>
      <c r="P58" s="95"/>
      <c r="Q58" s="98">
        <f>AB58+CCS!N$114/1000*7.45</f>
        <v>30.172500000000003</v>
      </c>
      <c r="R58" s="98">
        <f>Q58*CCS!E$119/100</f>
        <v>0.75431250000000005</v>
      </c>
      <c r="S58" s="98">
        <f>MAX(AD58, AD58+CCS!$L$120/3.6*7.45)</f>
        <v>7.863888888888888</v>
      </c>
      <c r="T58" s="95"/>
      <c r="U58" s="95"/>
      <c r="V58" s="95"/>
      <c r="W58" s="95"/>
      <c r="X58" s="95"/>
      <c r="Y58" s="95"/>
      <c r="Z58" s="95"/>
      <c r="AA58" s="96">
        <v>0.29099999999999998</v>
      </c>
      <c r="AB58" s="115">
        <v>23.095000000000002</v>
      </c>
      <c r="AC58" s="115">
        <v>0.3725</v>
      </c>
      <c r="AD58" s="115">
        <v>7.863888888888888</v>
      </c>
      <c r="AE58" s="115"/>
      <c r="AF58" s="115">
        <v>2.9411764705882351</v>
      </c>
      <c r="AG58" s="115"/>
      <c r="AI58" s="94">
        <f>(AA58+AA58*AF58)/(1+AF58*AH58)</f>
        <v>1.1468823529411762</v>
      </c>
      <c r="AJ58" s="55">
        <f>AI58-AA58+L58</f>
        <v>1.0568823529411764</v>
      </c>
      <c r="AL58" s="55">
        <f>($AJ58-$L58)/($L58-($AJ58)*$P58)</f>
        <v>4.2581211589113259</v>
      </c>
    </row>
    <row r="59" spans="2:38" s="94" customFormat="1" ht="30.6" customHeight="1">
      <c r="B59" s="50"/>
      <c r="C59" s="50"/>
      <c r="D59" s="95"/>
      <c r="E59" s="115"/>
      <c r="F59" s="95"/>
      <c r="G59" s="115"/>
      <c r="H59" s="244" t="s">
        <v>683</v>
      </c>
      <c r="I59" s="95">
        <v>2050</v>
      </c>
      <c r="J59" s="95"/>
      <c r="K59" s="95"/>
      <c r="L59" s="96">
        <f>AA59-CCS!$P$111/100</f>
        <v>0.20099999999999998</v>
      </c>
      <c r="M59" s="114"/>
      <c r="N59" s="97">
        <f>AL59</f>
        <v>4.2581211589113259</v>
      </c>
      <c r="O59" s="95"/>
      <c r="P59" s="95"/>
      <c r="Q59" s="98">
        <f>AB59+CCS!P$114/1000*7.45</f>
        <v>27.9375</v>
      </c>
      <c r="R59" s="98">
        <f>Q59*CCS!G$119/100</f>
        <v>0.69843750000000004</v>
      </c>
      <c r="S59" s="98">
        <f>MAX(AD59, AD59+CCS!$L$120/3.6*7.45)</f>
        <v>7.863888888888888</v>
      </c>
      <c r="T59" s="95"/>
      <c r="U59" s="95"/>
      <c r="V59" s="95"/>
      <c r="W59" s="95"/>
      <c r="X59" s="95"/>
      <c r="Y59" s="95"/>
      <c r="Z59" s="95"/>
      <c r="AA59" s="96">
        <v>0.29099999999999998</v>
      </c>
      <c r="AB59" s="115">
        <v>20.86</v>
      </c>
      <c r="AC59" s="115">
        <v>0.3725</v>
      </c>
      <c r="AD59" s="115">
        <v>7.863888888888888</v>
      </c>
      <c r="AE59" s="115"/>
      <c r="AF59" s="115">
        <v>2.9411764705882351</v>
      </c>
      <c r="AG59" s="115"/>
      <c r="AI59" s="94">
        <f>(AA59+AA59*AF59)/(1+AF59*AH59)</f>
        <v>1.1468823529411762</v>
      </c>
      <c r="AJ59" s="55">
        <f>AI59-AA59+L59</f>
        <v>1.0568823529411764</v>
      </c>
      <c r="AL59" s="55">
        <f>($AJ59-$L59)/($L59-($AJ59)*$P59)</f>
        <v>4.2581211589113259</v>
      </c>
    </row>
    <row r="60" spans="2:38" ht="30.6" customHeight="1">
      <c r="B60" s="95" t="s">
        <v>204</v>
      </c>
      <c r="C60" s="95" t="s">
        <v>205</v>
      </c>
      <c r="D60" s="115" t="s">
        <v>23</v>
      </c>
      <c r="E60" s="115"/>
      <c r="F60" s="99" t="s">
        <v>17</v>
      </c>
      <c r="G60" s="99"/>
      <c r="H60" s="244" t="s">
        <v>683</v>
      </c>
      <c r="I60" s="95">
        <v>2013</v>
      </c>
      <c r="J60" s="114">
        <v>2030</v>
      </c>
      <c r="K60" s="95"/>
      <c r="L60" s="96">
        <f>AA60-CCS!$L$111/100</f>
        <v>0.22</v>
      </c>
      <c r="M60" s="95"/>
      <c r="N60" s="97">
        <f>AL60</f>
        <v>3.2024793388429704</v>
      </c>
      <c r="O60" s="95"/>
      <c r="P60" s="95"/>
      <c r="Q60" s="98">
        <f>AB60+CCS!L$114/1000*7.45</f>
        <v>30.545000000000002</v>
      </c>
      <c r="R60" s="98">
        <f>Q60*CCS!C$119/100</f>
        <v>0.76362500000000011</v>
      </c>
      <c r="S60" s="98">
        <f>MAX(AD60, AD60+CCS!$L$120/3.6*7.45)</f>
        <v>3.931944444444444</v>
      </c>
      <c r="T60" s="97">
        <v>3.1536000000000002E-2</v>
      </c>
      <c r="U60" s="97">
        <v>0.9</v>
      </c>
      <c r="V60" s="97">
        <v>1</v>
      </c>
      <c r="W60" s="97">
        <v>25</v>
      </c>
      <c r="X60" s="97">
        <v>1</v>
      </c>
      <c r="Y60" s="50"/>
      <c r="Z60" s="50"/>
      <c r="AA60" s="55">
        <v>0.31</v>
      </c>
      <c r="AB60" s="115">
        <v>20.115000000000002</v>
      </c>
      <c r="AC60" s="115">
        <v>0.89400000000000002</v>
      </c>
      <c r="AD60" s="115">
        <v>3.931944444444444</v>
      </c>
      <c r="AE60" s="115"/>
      <c r="AF60" s="115">
        <v>2.2727272727272698</v>
      </c>
      <c r="AG60" s="115"/>
      <c r="AH60" s="94"/>
      <c r="AI60" s="94">
        <f>(AA60+AA60*AF60)/(1+AF60*AH60)</f>
        <v>1.0145454545454535</v>
      </c>
      <c r="AJ60" s="55">
        <f>AI60-AA60+L60</f>
        <v>0.92454545454545345</v>
      </c>
      <c r="AK60" s="94"/>
      <c r="AL60" s="55">
        <f>($AJ60-$L60)/($L60-($AJ60)*$P60)</f>
        <v>3.2024793388429704</v>
      </c>
    </row>
    <row r="61" spans="2:38" s="94" customFormat="1" ht="30.6" customHeight="1">
      <c r="B61" s="95"/>
      <c r="C61" s="95"/>
      <c r="D61" s="95"/>
      <c r="E61" s="115"/>
      <c r="F61" s="99" t="s">
        <v>899</v>
      </c>
      <c r="G61" s="99"/>
      <c r="H61" s="244" t="s">
        <v>683</v>
      </c>
      <c r="I61" s="93">
        <v>2013</v>
      </c>
      <c r="J61" s="95"/>
      <c r="K61" s="95"/>
      <c r="L61" s="114"/>
      <c r="M61" s="95"/>
      <c r="N61" s="115"/>
      <c r="O61" s="95"/>
      <c r="P61" s="95"/>
      <c r="Q61" s="114"/>
      <c r="R61" s="114"/>
      <c r="S61" s="114"/>
      <c r="T61" s="95"/>
      <c r="U61" s="95"/>
      <c r="V61" s="95"/>
      <c r="W61" s="95"/>
      <c r="X61" s="95"/>
      <c r="Y61" s="95"/>
      <c r="Z61" s="95"/>
      <c r="AA61" s="55"/>
      <c r="AB61" s="115"/>
      <c r="AC61" s="115"/>
      <c r="AD61" s="115"/>
      <c r="AE61" s="115"/>
      <c r="AF61" s="115"/>
      <c r="AG61" s="115"/>
    </row>
    <row r="62" spans="2:38" s="94" customFormat="1" ht="30.6" customHeight="1">
      <c r="B62" s="115"/>
      <c r="C62" s="95"/>
      <c r="D62" s="95"/>
      <c r="E62" s="115"/>
      <c r="F62" s="99"/>
      <c r="G62" s="114" t="s">
        <v>879</v>
      </c>
      <c r="H62" s="244" t="s">
        <v>683</v>
      </c>
      <c r="I62" s="93">
        <v>2013</v>
      </c>
      <c r="J62" s="95"/>
      <c r="K62" s="95"/>
      <c r="L62" s="114"/>
      <c r="M62" s="114">
        <f>Emis!C11*CCS!$C$112/100</f>
        <v>85.14</v>
      </c>
      <c r="O62" s="95"/>
      <c r="P62" s="95"/>
      <c r="Q62" s="114"/>
      <c r="R62" s="114"/>
      <c r="S62" s="114"/>
      <c r="T62" s="95"/>
      <c r="U62" s="95"/>
      <c r="V62" s="95"/>
      <c r="W62" s="95"/>
      <c r="X62" s="95"/>
      <c r="Y62" s="95"/>
      <c r="Z62" s="95"/>
      <c r="AA62" s="55"/>
      <c r="AB62" s="115"/>
      <c r="AC62" s="115"/>
      <c r="AD62" s="115"/>
      <c r="AE62" s="115"/>
      <c r="AG62" s="115"/>
    </row>
    <row r="63" spans="2:38" ht="30.6" customHeight="1">
      <c r="B63" s="115"/>
      <c r="C63" s="2"/>
      <c r="D63" s="95"/>
      <c r="E63" s="115"/>
      <c r="F63" s="99"/>
      <c r="G63" s="116"/>
      <c r="H63" s="244" t="s">
        <v>683</v>
      </c>
      <c r="I63" s="95">
        <v>2020</v>
      </c>
      <c r="J63" s="95"/>
      <c r="K63" s="95"/>
      <c r="L63" s="96">
        <f>AA63-CCS!$M$111/100</f>
        <v>0.22</v>
      </c>
      <c r="M63" s="114"/>
      <c r="N63" s="97">
        <f>AL63</f>
        <v>3.2024793388429753</v>
      </c>
      <c r="O63" s="95"/>
      <c r="P63" s="95"/>
      <c r="Q63" s="98">
        <f>AB63+CCS!M$114/1000*7.45</f>
        <v>27.565000000000001</v>
      </c>
      <c r="R63" s="98">
        <f>Q63*CCS!D$119/100</f>
        <v>0.6891250000000001</v>
      </c>
      <c r="S63" s="98">
        <f>MAX(AD63, AD63+CCS!$L$120/3.6*7.45)</f>
        <v>3.931944444444444</v>
      </c>
      <c r="T63" s="97"/>
      <c r="U63" s="97"/>
      <c r="V63" s="97"/>
      <c r="W63" s="97"/>
      <c r="X63" s="97"/>
      <c r="Y63" s="50"/>
      <c r="Z63" s="50"/>
      <c r="AA63" s="55">
        <v>0.31</v>
      </c>
      <c r="AB63" s="115">
        <v>19.37</v>
      </c>
      <c r="AC63" s="115">
        <v>0.89400000000000002</v>
      </c>
      <c r="AD63" s="115">
        <v>3.931944444444444</v>
      </c>
      <c r="AE63" s="115"/>
      <c r="AF63" s="115">
        <v>2.2727272727272729</v>
      </c>
      <c r="AG63" s="115"/>
      <c r="AH63" s="94"/>
      <c r="AI63" s="94">
        <f>(AA63+AA63*AF63)/(1+AF63*AH63)</f>
        <v>1.0145454545454546</v>
      </c>
      <c r="AJ63" s="55">
        <f>AI63-AA63+L63</f>
        <v>0.92454545454545456</v>
      </c>
      <c r="AK63" s="94"/>
      <c r="AL63" s="55">
        <f>($AJ63-$L63)/($L63-($AJ63)*$P63)</f>
        <v>3.2024793388429753</v>
      </c>
    </row>
    <row r="64" spans="2:38" s="94" customFormat="1" ht="30.6" customHeight="1">
      <c r="B64" s="115"/>
      <c r="C64" s="50"/>
      <c r="D64" s="95"/>
      <c r="E64" s="115"/>
      <c r="F64" s="95"/>
      <c r="G64" s="115"/>
      <c r="H64" s="244" t="s">
        <v>683</v>
      </c>
      <c r="I64" s="95">
        <v>2030</v>
      </c>
      <c r="J64" s="95"/>
      <c r="K64" s="95"/>
      <c r="L64" s="96">
        <f>AA64-CCS!$N$111/100</f>
        <v>0.221</v>
      </c>
      <c r="M64" s="114"/>
      <c r="N64" s="97">
        <f>AL64</f>
        <v>3.1271995977878335</v>
      </c>
      <c r="O64" s="95"/>
      <c r="P64" s="95"/>
      <c r="Q64" s="98">
        <f>AB64+CCS!N$114/1000*7.45</f>
        <v>25.702500000000001</v>
      </c>
      <c r="R64" s="98">
        <f>Q64*CCS!E$119/100</f>
        <v>0.64256249999999993</v>
      </c>
      <c r="S64" s="98">
        <f>MAX(AD64, AD64+CCS!$L$120/3.6*7.45)</f>
        <v>3.931944444444444</v>
      </c>
      <c r="T64" s="95"/>
      <c r="U64" s="95"/>
      <c r="V64" s="95"/>
      <c r="W64" s="95"/>
      <c r="X64" s="95"/>
      <c r="Y64" s="95"/>
      <c r="Z64" s="95"/>
      <c r="AA64" s="55">
        <v>0.311</v>
      </c>
      <c r="AB64" s="115">
        <v>18.625</v>
      </c>
      <c r="AC64" s="115">
        <v>0.81950000000000001</v>
      </c>
      <c r="AD64" s="115">
        <v>3.931944444444444</v>
      </c>
      <c r="AE64" s="115"/>
      <c r="AF64" s="115">
        <v>2.2222222222222223</v>
      </c>
      <c r="AG64" s="115"/>
      <c r="AI64" s="94">
        <f>(AA64+AA64*AF64)/(1+AF64*AH64)</f>
        <v>1.0021111111111112</v>
      </c>
      <c r="AJ64" s="55">
        <f>AI64-AA64+L64</f>
        <v>0.91211111111111121</v>
      </c>
      <c r="AL64" s="55">
        <f>($AJ64-$L64)/($L64-($AJ64)*$P64)</f>
        <v>3.1271995977878335</v>
      </c>
    </row>
    <row r="65" spans="2:38" s="94" customFormat="1" ht="30.6" customHeight="1">
      <c r="B65" s="115"/>
      <c r="C65" s="50"/>
      <c r="D65" s="95"/>
      <c r="E65" s="115"/>
      <c r="F65" s="95"/>
      <c r="G65" s="115"/>
      <c r="H65" s="244" t="s">
        <v>683</v>
      </c>
      <c r="I65" s="95">
        <v>2050</v>
      </c>
      <c r="J65" s="95"/>
      <c r="K65" s="95"/>
      <c r="L65" s="96">
        <f>AA65-CCS!$P$111/100</f>
        <v>0.221</v>
      </c>
      <c r="M65" s="114"/>
      <c r="N65" s="97">
        <f>AL65</f>
        <v>3.1271995977878335</v>
      </c>
      <c r="O65" s="95"/>
      <c r="P65" s="95"/>
      <c r="Q65" s="98">
        <f>AB65+CCS!P$114/1000*7.45</f>
        <v>24.212499999999999</v>
      </c>
      <c r="R65" s="98">
        <f>Q65*CCS!G$119/100</f>
        <v>0.60531250000000003</v>
      </c>
      <c r="S65" s="98">
        <f>MAX(AD65, AD65+CCS!$L$120/3.6*7.45)</f>
        <v>3.931944444444444</v>
      </c>
      <c r="T65" s="95"/>
      <c r="U65" s="95"/>
      <c r="V65" s="95"/>
      <c r="W65" s="95"/>
      <c r="X65" s="95"/>
      <c r="Y65" s="95"/>
      <c r="Z65" s="95"/>
      <c r="AA65" s="55">
        <v>0.311</v>
      </c>
      <c r="AB65" s="115">
        <v>17.134999999999998</v>
      </c>
      <c r="AC65" s="115">
        <v>0.745</v>
      </c>
      <c r="AD65" s="115">
        <v>3.931944444444444</v>
      </c>
      <c r="AE65" s="115"/>
      <c r="AF65" s="115">
        <v>2.2222222222222223</v>
      </c>
      <c r="AG65" s="115"/>
      <c r="AI65" s="94">
        <f>(AA65+AA65*AF65)/(1+AF65*AH65)</f>
        <v>1.0021111111111112</v>
      </c>
      <c r="AJ65" s="55">
        <f>AI65-AA65+L65</f>
        <v>0.91211111111111121</v>
      </c>
      <c r="AL65" s="55">
        <f>($AJ65-$L65)/($L65-($AJ65)*$P65)</f>
        <v>3.1271995977878335</v>
      </c>
    </row>
    <row r="66" spans="2:38" s="94" customFormat="1" ht="30.6" customHeight="1">
      <c r="B66" s="115" t="s">
        <v>350</v>
      </c>
      <c r="C66" s="115" t="s">
        <v>348</v>
      </c>
      <c r="D66" s="94" t="s">
        <v>22</v>
      </c>
      <c r="E66" s="115"/>
      <c r="F66" s="116" t="s">
        <v>17</v>
      </c>
      <c r="G66" s="116"/>
      <c r="H66" s="244" t="s">
        <v>683</v>
      </c>
      <c r="I66" s="115">
        <v>2013</v>
      </c>
      <c r="J66" s="114">
        <v>2030</v>
      </c>
      <c r="K66" s="115"/>
      <c r="L66" s="96">
        <f>AA66-CCS!$L$51/100</f>
        <v>0.12300000000000001</v>
      </c>
      <c r="M66" s="96"/>
      <c r="N66" s="97">
        <f>AL66</f>
        <v>6.3143631436314358</v>
      </c>
      <c r="P66" s="96"/>
      <c r="Q66" s="98">
        <f>AB66+CCS!L$54/1000*7.45</f>
        <v>90.14500000000001</v>
      </c>
      <c r="R66" s="98">
        <f>MAX(Q66*CCS!C$59/100,AC66)</f>
        <v>2.98</v>
      </c>
      <c r="S66" s="98">
        <f>AD66+CCS!$L$60/3.6*7.45</f>
        <v>56.909722222222229</v>
      </c>
      <c r="T66" s="97">
        <v>3.1536000000000002E-2</v>
      </c>
      <c r="U66" s="96">
        <v>0.95</v>
      </c>
      <c r="V66" s="97">
        <v>1</v>
      </c>
      <c r="W66" s="78">
        <v>25</v>
      </c>
      <c r="X66" s="98">
        <v>4</v>
      </c>
      <c r="AA66" s="96">
        <v>0.23300000000000001</v>
      </c>
      <c r="AB66" s="98">
        <v>79.715000000000003</v>
      </c>
      <c r="AC66" s="98">
        <v>2.98</v>
      </c>
      <c r="AD66" s="98">
        <v>52.977777777777781</v>
      </c>
      <c r="AE66" s="96">
        <v>0.3</v>
      </c>
      <c r="AF66" s="97">
        <f>1/AE66</f>
        <v>3.3333333333333335</v>
      </c>
      <c r="AH66" s="96"/>
      <c r="AI66" s="94">
        <f>(AA66+AA66*AF66)/(1+AF66*AH66)</f>
        <v>1.0096666666666667</v>
      </c>
      <c r="AJ66" s="55">
        <f>AI66-AA66+L66</f>
        <v>0.89966666666666673</v>
      </c>
      <c r="AL66" s="55">
        <f>($AJ66-$L66)/($L66-($AJ66)*$P66)</f>
        <v>6.3143631436314358</v>
      </c>
    </row>
    <row r="67" spans="2:38" s="94" customFormat="1" ht="30.6" customHeight="1">
      <c r="B67" s="114"/>
      <c r="C67" s="114"/>
      <c r="D67" s="115"/>
      <c r="E67" s="115"/>
      <c r="F67" s="116" t="s">
        <v>899</v>
      </c>
      <c r="G67" s="116"/>
      <c r="H67" s="244" t="s">
        <v>683</v>
      </c>
      <c r="I67" s="114">
        <v>2013</v>
      </c>
      <c r="J67" s="115"/>
      <c r="K67" s="115"/>
      <c r="L67" s="114"/>
      <c r="M67" s="114"/>
      <c r="N67" s="114"/>
      <c r="P67" s="114"/>
      <c r="Q67" s="114"/>
      <c r="R67" s="114"/>
      <c r="S67" s="114"/>
      <c r="T67" s="114"/>
      <c r="U67" s="114"/>
      <c r="V67" s="114"/>
      <c r="W67" s="114"/>
      <c r="X67" s="98"/>
      <c r="AE67" s="96"/>
      <c r="AF67" s="97"/>
      <c r="AG67" s="97"/>
      <c r="AH67" s="96"/>
      <c r="AI67" s="96"/>
    </row>
    <row r="68" spans="2:38" s="94" customFormat="1" ht="30.6" customHeight="1">
      <c r="B68" s="114"/>
      <c r="C68" s="115"/>
      <c r="D68" s="115"/>
      <c r="E68" s="115"/>
      <c r="F68" s="116"/>
      <c r="G68" s="114" t="s">
        <v>893</v>
      </c>
      <c r="H68" s="244" t="s">
        <v>683</v>
      </c>
      <c r="I68" s="114">
        <v>2013</v>
      </c>
      <c r="J68" s="115"/>
      <c r="K68" s="115"/>
      <c r="L68" s="114"/>
      <c r="M68" s="171">
        <f>Emis!K11*CCS!$C$52/100*2</f>
        <v>64.38</v>
      </c>
      <c r="N68" s="114"/>
      <c r="P68" s="114"/>
      <c r="Q68" s="114"/>
      <c r="R68" s="114"/>
      <c r="S68" s="114"/>
      <c r="T68" s="114"/>
      <c r="U68" s="114"/>
      <c r="V68" s="114"/>
      <c r="W68" s="114"/>
      <c r="X68" s="98"/>
      <c r="AE68" s="96"/>
      <c r="AF68" s="97"/>
      <c r="AG68" s="97"/>
      <c r="AH68" s="96"/>
      <c r="AI68" s="96"/>
      <c r="AJ68" s="122"/>
    </row>
    <row r="69" spans="2:38" s="94" customFormat="1" ht="30.6" customHeight="1">
      <c r="B69" s="114"/>
      <c r="C69" s="115"/>
      <c r="D69" s="115"/>
      <c r="E69" s="115"/>
      <c r="F69" s="116"/>
      <c r="G69" s="170"/>
      <c r="H69" s="244" t="s">
        <v>683</v>
      </c>
      <c r="I69" s="115">
        <v>2020</v>
      </c>
      <c r="J69" s="115"/>
      <c r="K69" s="115"/>
      <c r="L69" s="96">
        <f>AA69-CCS!$M$51/100</f>
        <v>0.12300000000000001</v>
      </c>
      <c r="M69" s="171"/>
      <c r="N69" s="97">
        <f>AL69</f>
        <v>6.3143631436314358</v>
      </c>
      <c r="P69" s="96"/>
      <c r="Q69" s="98">
        <f>AB69+CCS!M$54/1000*7.45</f>
        <v>86.420000000000016</v>
      </c>
      <c r="R69" s="98">
        <f>MAX(Q69*CCS!C$59/100,AC69)</f>
        <v>2.9055</v>
      </c>
      <c r="S69" s="98">
        <f>AD69+CCS!$M$60/3.6*7.45</f>
        <v>56.909722222222229</v>
      </c>
      <c r="T69" s="97"/>
      <c r="U69" s="97"/>
      <c r="V69" s="97"/>
      <c r="W69" s="79"/>
      <c r="X69" s="98"/>
      <c r="AA69" s="94">
        <v>0.23300000000000001</v>
      </c>
      <c r="AB69" s="94">
        <v>78.225000000000009</v>
      </c>
      <c r="AC69" s="94">
        <v>2.9055</v>
      </c>
      <c r="AD69" s="94">
        <v>52.977777777777781</v>
      </c>
      <c r="AE69" s="96">
        <v>0.3</v>
      </c>
      <c r="AF69" s="97">
        <f>1/AE69</f>
        <v>3.3333333333333335</v>
      </c>
      <c r="AH69" s="96"/>
      <c r="AI69" s="94">
        <f>(AA69+AA69*AF69)/(1+AF69*AH69)</f>
        <v>1.0096666666666667</v>
      </c>
      <c r="AJ69" s="55">
        <f>AI69-AA69+L69</f>
        <v>0.89966666666666673</v>
      </c>
      <c r="AL69" s="55">
        <f>($AJ69-$L69)/($L69-($AJ69)*$P69)</f>
        <v>6.3143631436314358</v>
      </c>
    </row>
    <row r="70" spans="2:38" s="94" customFormat="1" ht="30.6" customHeight="1">
      <c r="B70" s="114"/>
      <c r="C70" s="115"/>
      <c r="D70" s="115"/>
      <c r="E70" s="115"/>
      <c r="F70" s="116"/>
      <c r="G70" s="169"/>
      <c r="H70" s="244" t="s">
        <v>683</v>
      </c>
      <c r="I70" s="115">
        <v>2030</v>
      </c>
      <c r="J70" s="115"/>
      <c r="K70" s="115"/>
      <c r="L70" s="96">
        <f>AA70-CCS!$N$51/100</f>
        <v>0.13899999999999998</v>
      </c>
      <c r="M70" s="171"/>
      <c r="N70" s="97">
        <f>AL70</f>
        <v>5.7314148681055164</v>
      </c>
      <c r="P70" s="96"/>
      <c r="Q70" s="98">
        <f>AB70+CCS!N$54/1000*7.45</f>
        <v>78.597499999999997</v>
      </c>
      <c r="R70" s="98">
        <f>MAX(Q70*CCS!C$59/100,AC70)</f>
        <v>2.6074999999999999</v>
      </c>
      <c r="S70" s="98">
        <f>AD70+CCS!$N$60/3.6*7.45</f>
        <v>54.840277777777779</v>
      </c>
      <c r="T70" s="97"/>
      <c r="U70" s="97"/>
      <c r="V70" s="97"/>
      <c r="W70" s="79"/>
      <c r="X70" s="115"/>
      <c r="Y70" s="115"/>
      <c r="Z70" s="115"/>
      <c r="AA70" s="94">
        <v>0.23899999999999999</v>
      </c>
      <c r="AB70" s="94">
        <v>71.52</v>
      </c>
      <c r="AC70" s="94">
        <v>2.6074999999999999</v>
      </c>
      <c r="AD70" s="94">
        <v>50.908333333333331</v>
      </c>
      <c r="AE70" s="96">
        <v>0.3</v>
      </c>
      <c r="AF70" s="97">
        <f>1/AE70</f>
        <v>3.3333333333333335</v>
      </c>
      <c r="AH70" s="96"/>
      <c r="AI70" s="94">
        <f>(AA70+AA70*AF70)/(1+AF70*AH70)</f>
        <v>1.0356666666666667</v>
      </c>
      <c r="AJ70" s="55">
        <f>AI70-AA70+L70</f>
        <v>0.93566666666666676</v>
      </c>
      <c r="AL70" s="55">
        <f>($AJ70-$L70)/($L70-($AJ70)*$P70)</f>
        <v>5.7314148681055164</v>
      </c>
    </row>
    <row r="71" spans="2:38" s="94" customFormat="1" ht="30.6" customHeight="1">
      <c r="B71" s="114"/>
      <c r="C71" s="115"/>
      <c r="D71" s="115"/>
      <c r="E71" s="115"/>
      <c r="F71" s="116"/>
      <c r="G71" s="169"/>
      <c r="H71" s="244" t="s">
        <v>683</v>
      </c>
      <c r="I71" s="115">
        <v>2050</v>
      </c>
      <c r="J71" s="115"/>
      <c r="K71" s="115"/>
      <c r="L71" s="96">
        <f>AA71-CCS!$P$51/100</f>
        <v>0.14799999999999999</v>
      </c>
      <c r="M71" s="171"/>
      <c r="N71" s="97">
        <f>AL71</f>
        <v>5.2364864864864877</v>
      </c>
      <c r="P71" s="96"/>
      <c r="Q71" s="98">
        <f>AB71+CCS!P$54/1000*7.45</f>
        <v>72.637500000000003</v>
      </c>
      <c r="R71" s="98">
        <f>MAX(Q71*CCS!C$59/100,AC71)</f>
        <v>2.3094999999999999</v>
      </c>
      <c r="S71" s="98">
        <f>AD71+CCS!$P$60/3.6*7.45</f>
        <v>54.219444444444441</v>
      </c>
      <c r="T71" s="115"/>
      <c r="U71" s="115"/>
      <c r="V71" s="115"/>
      <c r="W71" s="115"/>
      <c r="X71" s="115"/>
      <c r="Y71" s="115"/>
      <c r="Z71" s="115"/>
      <c r="AA71" s="94">
        <v>0.248</v>
      </c>
      <c r="AB71" s="94">
        <v>65.56</v>
      </c>
      <c r="AC71" s="94">
        <v>2.3094999999999999</v>
      </c>
      <c r="AD71" s="94">
        <v>50.287499999999994</v>
      </c>
      <c r="AE71" s="96">
        <v>0.32</v>
      </c>
      <c r="AF71" s="97">
        <f>1/AE71</f>
        <v>3.125</v>
      </c>
      <c r="AH71" s="96"/>
      <c r="AI71" s="94">
        <f>(AA71+AA71*AF71)/(1+AF71*AH71)</f>
        <v>1.0230000000000001</v>
      </c>
      <c r="AJ71" s="55">
        <f>AI71-AA71+L71</f>
        <v>0.92300000000000015</v>
      </c>
      <c r="AL71" s="55">
        <f>($AJ71-$L71)/($L71-($AJ71)*$P71)</f>
        <v>5.2364864864864877</v>
      </c>
    </row>
    <row r="72" spans="2:38" s="94" customFormat="1" ht="30.6" customHeight="1">
      <c r="B72" s="115" t="s">
        <v>351</v>
      </c>
      <c r="C72" s="115" t="s">
        <v>349</v>
      </c>
      <c r="D72" s="94" t="s">
        <v>22</v>
      </c>
      <c r="E72" s="115"/>
      <c r="F72" s="116" t="s">
        <v>17</v>
      </c>
      <c r="G72" s="170"/>
      <c r="H72" s="244" t="s">
        <v>683</v>
      </c>
      <c r="I72" s="115">
        <v>2013</v>
      </c>
      <c r="J72" s="114">
        <v>2030</v>
      </c>
      <c r="K72" s="115"/>
      <c r="L72" s="96">
        <f>AA72-CCS!$L$111/100</f>
        <v>0.14300000000000002</v>
      </c>
      <c r="M72" s="169"/>
      <c r="N72" s="97">
        <f>AL72</f>
        <v>5.4312354312354314</v>
      </c>
      <c r="P72" s="96"/>
      <c r="Q72" s="98">
        <f>AB72+CCS!L$114/1000*7.45</f>
        <v>90.14500000000001</v>
      </c>
      <c r="R72" s="98">
        <f>MAX(Q72*CCS!C$59/100,AC72)</f>
        <v>2.98</v>
      </c>
      <c r="S72" s="98">
        <f>AD72+CCS!$L$120/3.6*7.45</f>
        <v>51.736111111111114</v>
      </c>
      <c r="T72" s="97">
        <v>3.1536000000000002E-2</v>
      </c>
      <c r="U72" s="96">
        <v>0.95</v>
      </c>
      <c r="V72" s="97">
        <v>1</v>
      </c>
      <c r="W72" s="78">
        <v>25</v>
      </c>
      <c r="X72" s="98">
        <v>4</v>
      </c>
      <c r="Y72" s="115"/>
      <c r="Z72" s="115"/>
      <c r="AA72" s="96">
        <v>0.23300000000000001</v>
      </c>
      <c r="AB72" s="98">
        <v>79.715000000000003</v>
      </c>
      <c r="AC72" s="98">
        <v>2.98</v>
      </c>
      <c r="AD72" s="98">
        <v>52.977777777777781</v>
      </c>
      <c r="AE72" s="96">
        <v>0.3</v>
      </c>
      <c r="AF72" s="97">
        <f>1/AE72</f>
        <v>3.3333333333333335</v>
      </c>
      <c r="AH72" s="96"/>
      <c r="AI72" s="94">
        <f>(AA72+AA72*AF72)/(1+AF72*AH72)</f>
        <v>1.0096666666666667</v>
      </c>
      <c r="AJ72" s="55">
        <f>AI72-AA72+L72</f>
        <v>0.91966666666666674</v>
      </c>
      <c r="AL72" s="55">
        <f>($AJ72-$L72)/($L72-($AJ72)*$P72)</f>
        <v>5.4312354312354314</v>
      </c>
    </row>
    <row r="73" spans="2:38" s="94" customFormat="1" ht="30.6" customHeight="1">
      <c r="B73" s="115"/>
      <c r="C73" s="115"/>
      <c r="D73" s="115"/>
      <c r="E73" s="115"/>
      <c r="F73" s="116" t="s">
        <v>899</v>
      </c>
      <c r="G73" s="170"/>
      <c r="H73" s="244" t="s">
        <v>683</v>
      </c>
      <c r="I73" s="114">
        <v>2013</v>
      </c>
      <c r="J73" s="115"/>
      <c r="K73" s="115"/>
      <c r="L73" s="114"/>
      <c r="M73" s="169"/>
      <c r="N73" s="114"/>
      <c r="P73" s="114"/>
      <c r="Q73" s="114"/>
      <c r="R73" s="114"/>
      <c r="S73" s="114"/>
      <c r="T73" s="115"/>
      <c r="U73" s="115"/>
      <c r="V73" s="115"/>
      <c r="W73" s="115"/>
      <c r="X73" s="115"/>
      <c r="Y73" s="115"/>
      <c r="Z73" s="115"/>
      <c r="AE73" s="96"/>
      <c r="AF73" s="97"/>
      <c r="AG73" s="97"/>
      <c r="AH73" s="96"/>
      <c r="AI73" s="96"/>
    </row>
    <row r="74" spans="2:38" s="94" customFormat="1" ht="30.6" customHeight="1">
      <c r="B74" s="115"/>
      <c r="C74" s="115"/>
      <c r="D74" s="115"/>
      <c r="E74" s="115"/>
      <c r="F74" s="116"/>
      <c r="G74" s="114" t="s">
        <v>893</v>
      </c>
      <c r="H74" s="244" t="s">
        <v>683</v>
      </c>
      <c r="I74" s="114">
        <v>2013</v>
      </c>
      <c r="J74" s="115"/>
      <c r="K74" s="115"/>
      <c r="L74" s="114"/>
      <c r="M74" s="171">
        <f>Emis!K11*CCS!$C$52/100*2</f>
        <v>64.38</v>
      </c>
      <c r="N74" s="114"/>
      <c r="P74" s="114"/>
      <c r="Q74" s="114"/>
      <c r="R74" s="114"/>
      <c r="S74" s="114"/>
      <c r="T74" s="115"/>
      <c r="U74" s="115"/>
      <c r="V74" s="115"/>
      <c r="W74" s="115"/>
      <c r="X74" s="115"/>
      <c r="Y74" s="115"/>
      <c r="Z74" s="115"/>
      <c r="AE74" s="96"/>
      <c r="AF74" s="97"/>
      <c r="AG74" s="97"/>
      <c r="AH74" s="96"/>
      <c r="AI74" s="96"/>
      <c r="AJ74" s="122"/>
    </row>
    <row r="75" spans="2:38" s="94" customFormat="1" ht="30.6" customHeight="1">
      <c r="B75" s="115"/>
      <c r="C75" s="115"/>
      <c r="D75" s="115"/>
      <c r="E75" s="115"/>
      <c r="F75" s="116"/>
      <c r="G75" s="170"/>
      <c r="H75" s="244" t="s">
        <v>683</v>
      </c>
      <c r="I75" s="115">
        <v>2020</v>
      </c>
      <c r="J75" s="115"/>
      <c r="K75" s="115"/>
      <c r="L75" s="96">
        <f>AA75-CCS!$M$111/100</f>
        <v>0.14300000000000002</v>
      </c>
      <c r="M75" s="171"/>
      <c r="N75" s="97">
        <f>AL75</f>
        <v>5.4312354312354314</v>
      </c>
      <c r="P75" s="96"/>
      <c r="Q75" s="98">
        <f>AB75+CCS!M$114/1000*7.45</f>
        <v>86.420000000000016</v>
      </c>
      <c r="R75" s="98">
        <f>MAX(Q75*CCS!C$59/100,AC75)</f>
        <v>2.9055</v>
      </c>
      <c r="S75" s="98">
        <f>AD75+CCS!$M$120/3.6*7.45</f>
        <v>51.736111111111114</v>
      </c>
      <c r="T75" s="115"/>
      <c r="U75" s="115"/>
      <c r="V75" s="115"/>
      <c r="W75" s="115"/>
      <c r="X75" s="115"/>
      <c r="Y75" s="115"/>
      <c r="Z75" s="115"/>
      <c r="AA75" s="94">
        <v>0.23300000000000001</v>
      </c>
      <c r="AB75" s="94">
        <v>78.225000000000009</v>
      </c>
      <c r="AC75" s="94">
        <v>2.9055</v>
      </c>
      <c r="AD75" s="94">
        <v>52.977777777777781</v>
      </c>
      <c r="AE75" s="96">
        <v>0.3</v>
      </c>
      <c r="AF75" s="97">
        <f>1/AE75</f>
        <v>3.3333333333333335</v>
      </c>
      <c r="AH75" s="96"/>
      <c r="AI75" s="94">
        <f>(AA75+AA75*AF75)/(1+AF75*AH75)</f>
        <v>1.0096666666666667</v>
      </c>
      <c r="AJ75" s="55">
        <f>AI75-AA75+L75</f>
        <v>0.91966666666666674</v>
      </c>
      <c r="AL75" s="55">
        <f>($AJ75-$L75)/($L75-($AJ75)*$P75)</f>
        <v>5.4312354312354314</v>
      </c>
    </row>
    <row r="76" spans="2:38" s="94" customFormat="1" ht="30.6" customHeight="1">
      <c r="B76" s="115"/>
      <c r="C76" s="115"/>
      <c r="D76" s="115"/>
      <c r="E76" s="115"/>
      <c r="F76" s="116"/>
      <c r="G76" s="169"/>
      <c r="H76" s="244" t="s">
        <v>683</v>
      </c>
      <c r="I76" s="115">
        <v>2030</v>
      </c>
      <c r="J76" s="115"/>
      <c r="K76" s="115"/>
      <c r="L76" s="96">
        <f>AA76-CCS!$N$111/100</f>
        <v>0.14899999999999999</v>
      </c>
      <c r="M76" s="171"/>
      <c r="N76" s="97">
        <f>AL76</f>
        <v>5.3467561521252804</v>
      </c>
      <c r="P76" s="96"/>
      <c r="Q76" s="98">
        <f>AB76+CCS!N$114/1000*7.45</f>
        <v>78.597499999999997</v>
      </c>
      <c r="R76" s="98">
        <f>MAX(Q76*CCS!C$59/100,AC76)</f>
        <v>2.6074999999999999</v>
      </c>
      <c r="S76" s="98">
        <f>AD76+CCS!$N$120/3.6*7.45</f>
        <v>49.666666666666664</v>
      </c>
      <c r="T76" s="115"/>
      <c r="U76" s="115"/>
      <c r="V76" s="115"/>
      <c r="W76" s="115"/>
      <c r="X76" s="115"/>
      <c r="Y76" s="115"/>
      <c r="Z76" s="115"/>
      <c r="AA76" s="94">
        <v>0.23899999999999999</v>
      </c>
      <c r="AB76" s="94">
        <v>71.52</v>
      </c>
      <c r="AC76" s="94">
        <v>2.6074999999999999</v>
      </c>
      <c r="AD76" s="94">
        <v>50.908333333333331</v>
      </c>
      <c r="AE76" s="96">
        <v>0.3</v>
      </c>
      <c r="AF76" s="97">
        <f>1/AE76</f>
        <v>3.3333333333333335</v>
      </c>
      <c r="AH76" s="96"/>
      <c r="AI76" s="94">
        <f>(AA76+AA76*AF76)/(1+AF76*AH76)</f>
        <v>1.0356666666666667</v>
      </c>
      <c r="AJ76" s="55">
        <f>AI76-AA76+L76</f>
        <v>0.94566666666666677</v>
      </c>
      <c r="AL76" s="55">
        <f>($AJ76-$L76)/($L76-($AJ76)*$P76)</f>
        <v>5.3467561521252804</v>
      </c>
    </row>
    <row r="77" spans="2:38" s="94" customFormat="1" ht="30.6" customHeight="1">
      <c r="B77" s="115"/>
      <c r="C77" s="115"/>
      <c r="D77" s="115"/>
      <c r="E77" s="115"/>
      <c r="F77" s="116"/>
      <c r="G77" s="169"/>
      <c r="H77" s="244" t="s">
        <v>683</v>
      </c>
      <c r="I77" s="115">
        <v>2050</v>
      </c>
      <c r="J77" s="115"/>
      <c r="K77" s="115"/>
      <c r="L77" s="96">
        <f>AA77-CCS!$P$111/100</f>
        <v>0.158</v>
      </c>
      <c r="M77" s="171"/>
      <c r="N77" s="97">
        <f>AL77</f>
        <v>4.9050632911392409</v>
      </c>
      <c r="P77" s="96"/>
      <c r="Q77" s="98">
        <f>AB77+CCS!P$114/1000*7.45</f>
        <v>72.637500000000003</v>
      </c>
      <c r="R77" s="98">
        <f>MAX(Q77*CCS!C$59/100,AC77)</f>
        <v>2.3094999999999999</v>
      </c>
      <c r="S77" s="98">
        <f>AD77+CCS!$P$120/3.6*7.45</f>
        <v>49.045833333333327</v>
      </c>
      <c r="T77" s="115"/>
      <c r="U77" s="115"/>
      <c r="V77" s="115"/>
      <c r="W77" s="115"/>
      <c r="X77" s="115"/>
      <c r="Y77" s="115"/>
      <c r="Z77" s="115"/>
      <c r="AA77" s="94">
        <v>0.248</v>
      </c>
      <c r="AB77" s="94">
        <v>65.56</v>
      </c>
      <c r="AC77" s="94">
        <v>2.3094999999999999</v>
      </c>
      <c r="AD77" s="94">
        <v>50.287499999999994</v>
      </c>
      <c r="AE77" s="96">
        <v>0.32</v>
      </c>
      <c r="AF77" s="97">
        <f>1/AE77</f>
        <v>3.125</v>
      </c>
      <c r="AH77" s="96"/>
      <c r="AI77" s="94">
        <f>(AA77+AA77*AF77)/(1+AF77*AH77)</f>
        <v>1.0230000000000001</v>
      </c>
      <c r="AJ77" s="55">
        <f>AI77-AA77+L77</f>
        <v>0.93300000000000016</v>
      </c>
      <c r="AL77" s="55">
        <f>($AJ77-$L77)/($L77-($AJ77)*$P77)</f>
        <v>4.9050632911392409</v>
      </c>
    </row>
    <row r="78" spans="2:38" s="174" customFormat="1" ht="30.6" customHeight="1">
      <c r="B78" s="169" t="s">
        <v>342</v>
      </c>
      <c r="C78" s="169" t="s">
        <v>206</v>
      </c>
      <c r="D78" s="115" t="s">
        <v>183</v>
      </c>
      <c r="E78" s="169"/>
      <c r="F78" s="170" t="s">
        <v>17</v>
      </c>
      <c r="G78" s="170"/>
      <c r="H78" s="244" t="s">
        <v>683</v>
      </c>
      <c r="I78" s="169">
        <v>2013</v>
      </c>
      <c r="J78" s="114">
        <v>2030</v>
      </c>
      <c r="K78" s="169"/>
      <c r="L78" s="169">
        <v>0.26871929824561397</v>
      </c>
      <c r="M78" s="169"/>
      <c r="N78" s="169">
        <v>2.9411764705882351</v>
      </c>
      <c r="O78" s="169"/>
      <c r="P78" s="169"/>
      <c r="Q78" s="173">
        <f>AB78+CCS!L$54/1000*7.45</f>
        <v>14.385999999999999</v>
      </c>
      <c r="R78" s="173">
        <f>Q78*CCS!C$59/100</f>
        <v>0.35964999999999997</v>
      </c>
      <c r="S78" s="173">
        <f>AD78+CCS!$L$60/3.6*7.45</f>
        <v>4.9874999999999998</v>
      </c>
      <c r="T78" s="172">
        <v>3.1536000000000002E-2</v>
      </c>
      <c r="U78" s="172">
        <v>0.9</v>
      </c>
      <c r="V78" s="172">
        <v>1</v>
      </c>
      <c r="W78" s="172">
        <v>25</v>
      </c>
      <c r="X78" s="172">
        <v>1</v>
      </c>
      <c r="Y78" s="169"/>
      <c r="Z78" s="169"/>
      <c r="AB78" s="169">
        <v>3.9559999999999991</v>
      </c>
      <c r="AC78" s="169">
        <v>6.9000000000000006E-2</v>
      </c>
      <c r="AD78" s="169">
        <v>1.0555555555555554</v>
      </c>
      <c r="AE78" s="169"/>
      <c r="AF78" s="169">
        <v>2.9411764705882351</v>
      </c>
      <c r="AG78" s="169"/>
    </row>
    <row r="79" spans="2:38" s="174" customFormat="1" ht="30.6" customHeight="1">
      <c r="B79" s="169" t="s">
        <v>341</v>
      </c>
      <c r="D79" s="169"/>
      <c r="E79" s="169"/>
      <c r="F79" s="170" t="s">
        <v>899</v>
      </c>
      <c r="G79" s="170"/>
      <c r="H79" s="244" t="s">
        <v>683</v>
      </c>
      <c r="I79" s="171">
        <v>2013</v>
      </c>
      <c r="J79" s="169"/>
      <c r="K79" s="169"/>
      <c r="L79" s="169"/>
      <c r="M79" s="169"/>
      <c r="N79" s="169"/>
      <c r="O79" s="169"/>
      <c r="P79" s="169"/>
      <c r="Q79" s="171"/>
      <c r="R79" s="171"/>
      <c r="S79" s="171"/>
      <c r="T79" s="169"/>
      <c r="U79" s="169"/>
      <c r="V79" s="169"/>
      <c r="W79" s="169"/>
      <c r="X79" s="169"/>
      <c r="Y79" s="169"/>
      <c r="Z79" s="169"/>
      <c r="AB79" s="169"/>
      <c r="AC79" s="169"/>
      <c r="AD79" s="169"/>
      <c r="AE79" s="169"/>
      <c r="AF79" s="169"/>
      <c r="AG79" s="169"/>
    </row>
    <row r="80" spans="2:38" s="174" customFormat="1" ht="30.6" customHeight="1">
      <c r="B80" s="169" t="s">
        <v>341</v>
      </c>
      <c r="C80" s="169"/>
      <c r="D80" s="169"/>
      <c r="E80" s="169"/>
      <c r="F80" s="170"/>
      <c r="G80" s="114" t="s">
        <v>879</v>
      </c>
      <c r="H80" s="244" t="s">
        <v>683</v>
      </c>
      <c r="I80" s="171">
        <v>2013</v>
      </c>
      <c r="J80" s="169"/>
      <c r="K80" s="169"/>
      <c r="L80" s="169"/>
      <c r="M80" s="169">
        <v>87.819827586206898</v>
      </c>
      <c r="O80" s="169"/>
      <c r="P80" s="169"/>
      <c r="Q80" s="171"/>
      <c r="R80" s="171"/>
      <c r="S80" s="171"/>
      <c r="T80" s="169"/>
      <c r="U80" s="169"/>
      <c r="V80" s="169"/>
      <c r="W80" s="169"/>
      <c r="X80" s="169"/>
      <c r="Y80" s="169"/>
      <c r="Z80" s="169"/>
      <c r="AB80" s="169"/>
      <c r="AC80" s="169"/>
      <c r="AD80" s="169"/>
      <c r="AE80" s="169"/>
      <c r="AG80" s="169"/>
    </row>
    <row r="81" spans="2:33" s="174" customFormat="1" ht="30.6" customHeight="1">
      <c r="B81" s="169" t="s">
        <v>341</v>
      </c>
      <c r="C81" s="169"/>
      <c r="D81" s="169"/>
      <c r="E81" s="169"/>
      <c r="F81" s="170"/>
      <c r="G81" s="116"/>
      <c r="H81" s="244" t="s">
        <v>683</v>
      </c>
      <c r="I81" s="169">
        <v>2020</v>
      </c>
      <c r="J81" s="169"/>
      <c r="K81" s="169"/>
      <c r="L81" s="169">
        <v>0.26871929824561397</v>
      </c>
      <c r="M81" s="169"/>
      <c r="N81" s="169">
        <v>2.9411764705882351</v>
      </c>
      <c r="O81" s="169"/>
      <c r="P81" s="169"/>
      <c r="Q81" s="173">
        <f>AB81+CCS!M$54/1000*7.45</f>
        <v>11.99</v>
      </c>
      <c r="R81" s="173">
        <f>Q81*CCS!D$59/100</f>
        <v>0.29975000000000002</v>
      </c>
      <c r="S81" s="173">
        <f>AD81+CCS!$M$60/3.6*7.45</f>
        <v>4.9874999999999998</v>
      </c>
      <c r="T81" s="172"/>
      <c r="U81" s="172"/>
      <c r="V81" s="172"/>
      <c r="W81" s="172"/>
      <c r="X81" s="172"/>
      <c r="Y81" s="169"/>
      <c r="Z81" s="169"/>
      <c r="AB81" s="169">
        <v>3.7949999999999999</v>
      </c>
      <c r="AC81" s="169">
        <v>6.9000000000000006E-2</v>
      </c>
      <c r="AD81" s="169">
        <v>1.0555555555555554</v>
      </c>
      <c r="AE81" s="169"/>
      <c r="AF81" s="169">
        <v>2.9411764705882351</v>
      </c>
      <c r="AG81" s="169"/>
    </row>
    <row r="82" spans="2:33" s="174" customFormat="1" ht="30.6" customHeight="1">
      <c r="B82" s="169" t="s">
        <v>341</v>
      </c>
      <c r="C82" s="169"/>
      <c r="D82" s="169"/>
      <c r="E82" s="169"/>
      <c r="F82" s="170"/>
      <c r="G82" s="115"/>
      <c r="H82" s="244" t="s">
        <v>683</v>
      </c>
      <c r="I82" s="169">
        <v>2030</v>
      </c>
      <c r="J82" s="169"/>
      <c r="K82" s="169"/>
      <c r="L82" s="169">
        <v>0.26871929824561397</v>
      </c>
      <c r="M82" s="169"/>
      <c r="N82" s="169">
        <v>2.9411764705882351</v>
      </c>
      <c r="O82" s="169"/>
      <c r="P82" s="169"/>
      <c r="Q82" s="173">
        <f>AB82+CCS!N$54/1000*7.45</f>
        <v>10.6425</v>
      </c>
      <c r="R82" s="173">
        <f>Q82*CCS!E$59/100</f>
        <v>0.26606249999999998</v>
      </c>
      <c r="S82" s="173">
        <f>AD82+CCS!$N$60/3.6*7.45</f>
        <v>4.9874999999999998</v>
      </c>
      <c r="T82" s="169"/>
      <c r="U82" s="169"/>
      <c r="V82" s="169"/>
      <c r="W82" s="169"/>
      <c r="X82" s="169"/>
      <c r="Y82" s="169"/>
      <c r="Z82" s="169"/>
      <c r="AB82" s="169">
        <v>3.5650000000000004</v>
      </c>
      <c r="AC82" s="169">
        <v>5.7499999999999996E-2</v>
      </c>
      <c r="AD82" s="169">
        <v>1.0555555555555554</v>
      </c>
      <c r="AE82" s="169"/>
      <c r="AF82" s="169">
        <v>2.9411764705882351</v>
      </c>
      <c r="AG82" s="169"/>
    </row>
    <row r="83" spans="2:33" s="174" customFormat="1" ht="30.6" customHeight="1">
      <c r="B83" s="169" t="s">
        <v>341</v>
      </c>
      <c r="C83" s="169"/>
      <c r="D83" s="169"/>
      <c r="E83" s="169"/>
      <c r="F83" s="170"/>
      <c r="G83" s="115"/>
      <c r="H83" s="244" t="s">
        <v>683</v>
      </c>
      <c r="I83" s="169">
        <v>2050</v>
      </c>
      <c r="J83" s="169"/>
      <c r="K83" s="169"/>
      <c r="L83" s="169">
        <v>0.26871929824561397</v>
      </c>
      <c r="M83" s="169"/>
      <c r="N83" s="169">
        <v>2.9411764705882351</v>
      </c>
      <c r="O83" s="169"/>
      <c r="P83" s="169"/>
      <c r="Q83" s="173">
        <f>AB83+CCS!P$54/1000*7.45</f>
        <v>10.297499999999999</v>
      </c>
      <c r="R83" s="173">
        <f>Q83*CCS!G$59/100</f>
        <v>0.25743749999999999</v>
      </c>
      <c r="S83" s="173">
        <f>AD83+CCS!$P$60/3.6*7.45</f>
        <v>4.9874999999999998</v>
      </c>
      <c r="T83" s="169"/>
      <c r="U83" s="169"/>
      <c r="V83" s="169"/>
      <c r="W83" s="169"/>
      <c r="X83" s="169"/>
      <c r="Y83" s="169"/>
      <c r="Z83" s="169"/>
      <c r="AB83" s="169">
        <v>3.2199999999999998</v>
      </c>
      <c r="AC83" s="169">
        <v>5.7499999999999996E-2</v>
      </c>
      <c r="AD83" s="169">
        <v>1.0555555555555554</v>
      </c>
      <c r="AE83" s="169"/>
      <c r="AF83" s="169">
        <v>2.9411764705882351</v>
      </c>
      <c r="AG83" s="169"/>
    </row>
    <row r="84" spans="2:33" s="174" customFormat="1" ht="30.6" customHeight="1">
      <c r="B84" s="169" t="s">
        <v>343</v>
      </c>
      <c r="C84" s="169" t="s">
        <v>207</v>
      </c>
      <c r="D84" s="115" t="s">
        <v>23</v>
      </c>
      <c r="E84" s="169"/>
      <c r="F84" s="170" t="s">
        <v>17</v>
      </c>
      <c r="G84" s="170"/>
      <c r="H84" s="244" t="s">
        <v>683</v>
      </c>
      <c r="I84" s="169">
        <v>2013</v>
      </c>
      <c r="J84" s="114">
        <v>2030</v>
      </c>
      <c r="K84" s="169"/>
      <c r="L84" s="169">
        <v>0.28824561403508769</v>
      </c>
      <c r="M84" s="169"/>
      <c r="N84" s="169">
        <v>2.2727272727272729</v>
      </c>
      <c r="O84" s="169"/>
      <c r="P84" s="169"/>
      <c r="Q84" s="173">
        <f>AB84+CCS!L$54/1000*7.45</f>
        <v>13.581</v>
      </c>
      <c r="R84" s="173">
        <f>Q84*CCS!C$59/100</f>
        <v>0.33952500000000002</v>
      </c>
      <c r="S84" s="173">
        <f>AD84+CCS!$L$60/3.6*7.45</f>
        <v>4.4597222222222221</v>
      </c>
      <c r="T84" s="172">
        <v>3.1536000000000002E-2</v>
      </c>
      <c r="U84" s="172">
        <v>0.9</v>
      </c>
      <c r="V84" s="172">
        <v>1</v>
      </c>
      <c r="W84" s="172">
        <v>25</v>
      </c>
      <c r="X84" s="172">
        <v>1</v>
      </c>
      <c r="Y84" s="169"/>
      <c r="Z84" s="169"/>
      <c r="AB84" s="169">
        <v>3.1510000000000002</v>
      </c>
      <c r="AC84" s="169">
        <v>0.13800000000000001</v>
      </c>
      <c r="AD84" s="169">
        <v>0.52777777777777768</v>
      </c>
      <c r="AE84" s="169"/>
      <c r="AF84" s="169">
        <v>2.2727272727272729</v>
      </c>
      <c r="AG84" s="169"/>
    </row>
    <row r="85" spans="2:33" s="174" customFormat="1" ht="30.6" customHeight="1">
      <c r="B85" s="169" t="s">
        <v>341</v>
      </c>
      <c r="C85" s="169"/>
      <c r="D85" s="169"/>
      <c r="E85" s="169"/>
      <c r="F85" s="170" t="s">
        <v>899</v>
      </c>
      <c r="G85" s="170"/>
      <c r="H85" s="244" t="s">
        <v>683</v>
      </c>
      <c r="I85" s="171">
        <v>2013</v>
      </c>
      <c r="J85" s="169"/>
      <c r="K85" s="169"/>
      <c r="L85" s="169"/>
      <c r="M85" s="169"/>
      <c r="N85" s="169"/>
      <c r="O85" s="169"/>
      <c r="P85" s="169"/>
      <c r="Q85" s="171"/>
      <c r="R85" s="171"/>
      <c r="S85" s="171"/>
      <c r="T85" s="169"/>
      <c r="U85" s="169"/>
      <c r="V85" s="169"/>
      <c r="W85" s="169"/>
      <c r="X85" s="169"/>
      <c r="Y85" s="169"/>
      <c r="Z85" s="169"/>
      <c r="AB85" s="169"/>
      <c r="AC85" s="169"/>
      <c r="AD85" s="169"/>
      <c r="AE85" s="169"/>
      <c r="AF85" s="169"/>
      <c r="AG85" s="169"/>
    </row>
    <row r="86" spans="2:33" s="174" customFormat="1" ht="30.6" customHeight="1">
      <c r="B86" s="169" t="s">
        <v>341</v>
      </c>
      <c r="C86" s="169"/>
      <c r="D86" s="169"/>
      <c r="E86" s="169"/>
      <c r="F86" s="170"/>
      <c r="G86" s="114" t="s">
        <v>879</v>
      </c>
      <c r="H86" s="244" t="s">
        <v>683</v>
      </c>
      <c r="I86" s="171">
        <v>2013</v>
      </c>
      <c r="J86" s="169"/>
      <c r="K86" s="169"/>
      <c r="L86" s="169"/>
      <c r="M86" s="169">
        <v>87.819827586206898</v>
      </c>
      <c r="O86" s="169"/>
      <c r="P86" s="169"/>
      <c r="Q86" s="171"/>
      <c r="R86" s="171"/>
      <c r="S86" s="171"/>
      <c r="T86" s="169"/>
      <c r="U86" s="169"/>
      <c r="V86" s="169"/>
      <c r="W86" s="169"/>
      <c r="X86" s="169"/>
      <c r="Y86" s="169"/>
      <c r="Z86" s="169"/>
      <c r="AB86" s="169"/>
      <c r="AC86" s="169"/>
      <c r="AD86" s="169"/>
      <c r="AE86" s="169"/>
      <c r="AG86" s="169"/>
    </row>
    <row r="87" spans="2:33" s="174" customFormat="1" ht="30.6" customHeight="1">
      <c r="B87" s="169" t="s">
        <v>341</v>
      </c>
      <c r="C87" s="169"/>
      <c r="D87" s="169"/>
      <c r="E87" s="169"/>
      <c r="F87" s="170"/>
      <c r="G87" s="116"/>
      <c r="H87" s="244" t="s">
        <v>683</v>
      </c>
      <c r="I87" s="169">
        <v>2020</v>
      </c>
      <c r="J87" s="169"/>
      <c r="K87" s="169"/>
      <c r="L87" s="169">
        <v>0.28824561403508769</v>
      </c>
      <c r="M87" s="169"/>
      <c r="N87" s="169">
        <v>2.2727272727272729</v>
      </c>
      <c r="O87" s="169"/>
      <c r="P87" s="169"/>
      <c r="Q87" s="173">
        <f>AB87+CCS!M$54/1000*7.45</f>
        <v>11.185</v>
      </c>
      <c r="R87" s="173">
        <f>Q87*CCS!D$59/100</f>
        <v>0.27962500000000001</v>
      </c>
      <c r="S87" s="173">
        <f>AD87+CCS!$M$60/3.6*7.45</f>
        <v>4.4597222222222221</v>
      </c>
      <c r="T87" s="172"/>
      <c r="U87" s="172"/>
      <c r="V87" s="172"/>
      <c r="W87" s="172"/>
      <c r="X87" s="172"/>
      <c r="Y87" s="169"/>
      <c r="Z87" s="169"/>
      <c r="AB87" s="169">
        <v>2.99</v>
      </c>
      <c r="AC87" s="169">
        <v>0.13800000000000001</v>
      </c>
      <c r="AD87" s="169">
        <v>0.52777777777777768</v>
      </c>
      <c r="AE87" s="169"/>
      <c r="AF87" s="169">
        <v>2.2727272727272729</v>
      </c>
      <c r="AG87" s="169"/>
    </row>
    <row r="88" spans="2:33" s="174" customFormat="1" ht="30.6" customHeight="1">
      <c r="B88" s="169" t="s">
        <v>341</v>
      </c>
      <c r="C88" s="169"/>
      <c r="D88" s="169"/>
      <c r="E88" s="169"/>
      <c r="F88" s="170"/>
      <c r="G88" s="115"/>
      <c r="H88" s="244" t="s">
        <v>683</v>
      </c>
      <c r="I88" s="169">
        <v>2030</v>
      </c>
      <c r="J88" s="169"/>
      <c r="K88" s="169"/>
      <c r="L88" s="169">
        <v>0.28824561403508769</v>
      </c>
      <c r="M88" s="169"/>
      <c r="N88" s="169">
        <v>2.2727272727272729</v>
      </c>
      <c r="O88" s="169"/>
      <c r="P88" s="169"/>
      <c r="Q88" s="173">
        <f>AB88+CCS!N$54/1000*7.45</f>
        <v>9.9525000000000006</v>
      </c>
      <c r="R88" s="173">
        <f>Q88*CCS!E$59/100</f>
        <v>0.24881250000000002</v>
      </c>
      <c r="S88" s="173">
        <f>AD88+CCS!$N$60/3.6*7.45</f>
        <v>4.4597222222222221</v>
      </c>
      <c r="T88" s="169"/>
      <c r="U88" s="169"/>
      <c r="V88" s="169"/>
      <c r="W88" s="169"/>
      <c r="X88" s="169"/>
      <c r="Y88" s="169"/>
      <c r="Z88" s="169"/>
      <c r="AB88" s="169">
        <v>2.875</v>
      </c>
      <c r="AC88" s="169">
        <v>0.1265</v>
      </c>
      <c r="AD88" s="169">
        <v>0.52777777777777768</v>
      </c>
      <c r="AE88" s="169"/>
      <c r="AF88" s="169">
        <v>2.2727272727272729</v>
      </c>
      <c r="AG88" s="169"/>
    </row>
    <row r="89" spans="2:33" s="174" customFormat="1" ht="30.6" customHeight="1">
      <c r="B89" s="169" t="s">
        <v>341</v>
      </c>
      <c r="C89" s="169"/>
      <c r="D89" s="169"/>
      <c r="E89" s="169"/>
      <c r="F89" s="170"/>
      <c r="G89" s="115"/>
      <c r="H89" s="244" t="s">
        <v>683</v>
      </c>
      <c r="I89" s="169">
        <v>2050</v>
      </c>
      <c r="J89" s="169"/>
      <c r="K89" s="169"/>
      <c r="L89" s="169">
        <v>0.28824561403508769</v>
      </c>
      <c r="M89" s="169"/>
      <c r="N89" s="169">
        <v>2.2727272727272729</v>
      </c>
      <c r="O89" s="169"/>
      <c r="P89" s="169"/>
      <c r="Q89" s="173">
        <f>AB89+CCS!P$54/1000*7.45</f>
        <v>9.7225000000000001</v>
      </c>
      <c r="R89" s="173">
        <f>Q89*CCS!G$59/100</f>
        <v>0.24306249999999999</v>
      </c>
      <c r="S89" s="173">
        <f>AD89+CCS!$P$60/3.6*7.45</f>
        <v>4.4597222222222221</v>
      </c>
      <c r="T89" s="169"/>
      <c r="U89" s="169"/>
      <c r="V89" s="169"/>
      <c r="W89" s="169"/>
      <c r="X89" s="169"/>
      <c r="Y89" s="169"/>
      <c r="Z89" s="169"/>
      <c r="AB89" s="169">
        <v>2.6449999999999996</v>
      </c>
      <c r="AC89" s="169">
        <v>0.11499999999999999</v>
      </c>
      <c r="AD89" s="169">
        <v>0.52777777777777768</v>
      </c>
      <c r="AE89" s="169"/>
      <c r="AF89" s="169">
        <v>2.2727272727272729</v>
      </c>
      <c r="AG89" s="169"/>
    </row>
    <row r="90" spans="2:33" ht="30.6" customHeight="1">
      <c r="B90" s="107" t="s">
        <v>209</v>
      </c>
      <c r="C90" s="115" t="s">
        <v>210</v>
      </c>
      <c r="D90" s="115" t="s">
        <v>183</v>
      </c>
      <c r="E90" s="115" t="s">
        <v>17</v>
      </c>
      <c r="F90" s="50" t="s">
        <v>899</v>
      </c>
      <c r="G90" s="114" t="s">
        <v>879</v>
      </c>
      <c r="H90" s="244" t="s">
        <v>683</v>
      </c>
      <c r="I90" s="107">
        <v>2013</v>
      </c>
      <c r="J90" s="114">
        <v>2030</v>
      </c>
      <c r="K90" s="50">
        <f>CCS!S$52</f>
        <v>0.24444444444444444</v>
      </c>
      <c r="L90" s="50">
        <v>1.173</v>
      </c>
      <c r="M90" s="114">
        <f>Emis!C11*CCS!$C$52/100/L90</f>
        <v>70.163682864450124</v>
      </c>
      <c r="N90" s="50"/>
      <c r="O90" s="50"/>
      <c r="P90" s="50"/>
      <c r="Q90" s="98">
        <f>AB90+CCS!L$54/1000*7.45</f>
        <v>18.625</v>
      </c>
      <c r="R90" s="98">
        <f>Q90*CCS!C$59/100</f>
        <v>0.46562500000000001</v>
      </c>
      <c r="S90" s="98">
        <f>AD90+CCS!$L$60/3.6*7.45</f>
        <v>6.2083333333333339</v>
      </c>
      <c r="T90" s="97">
        <v>3.1536000000000002E-2</v>
      </c>
      <c r="U90" s="97">
        <v>0.9</v>
      </c>
      <c r="V90" s="97">
        <v>1</v>
      </c>
      <c r="W90" s="50">
        <v>20</v>
      </c>
      <c r="X90" s="115">
        <v>1</v>
      </c>
      <c r="Y90" s="50"/>
      <c r="Z90" s="50"/>
      <c r="AB90" s="115">
        <v>8.1950000000000003</v>
      </c>
      <c r="AC90" s="115">
        <v>0.25330000000000003</v>
      </c>
      <c r="AD90" s="115">
        <v>2.276388888888889</v>
      </c>
      <c r="AE90" s="115"/>
    </row>
    <row r="91" spans="2:33" ht="30.6" customHeight="1">
      <c r="B91" s="95"/>
      <c r="C91" s="95"/>
      <c r="D91" s="95"/>
      <c r="E91" s="115" t="s">
        <v>17</v>
      </c>
      <c r="F91" s="115"/>
      <c r="G91" s="108"/>
      <c r="H91" s="244" t="s">
        <v>683</v>
      </c>
      <c r="I91" s="107">
        <v>2020</v>
      </c>
      <c r="J91" s="107"/>
      <c r="K91" s="115">
        <f>CCS!T$52</f>
        <v>0.2391304347826087</v>
      </c>
      <c r="L91" s="115">
        <v>1.173</v>
      </c>
      <c r="M91" s="94"/>
      <c r="N91" s="95"/>
      <c r="O91" s="95"/>
      <c r="P91" s="95"/>
      <c r="Q91" s="98">
        <f>AB91+CCS!M$54/1000*7.45</f>
        <v>15.645</v>
      </c>
      <c r="R91" s="98">
        <f>Q91*CCS!D$59/100</f>
        <v>0.39112499999999994</v>
      </c>
      <c r="S91" s="98">
        <f>AD91+CCS!$M$60/3.6*7.45</f>
        <v>6.2083333333333339</v>
      </c>
      <c r="T91" s="95"/>
      <c r="U91" s="95"/>
      <c r="V91" s="95"/>
      <c r="W91" s="95"/>
      <c r="X91" s="95"/>
      <c r="Y91" s="50"/>
      <c r="Z91" s="50"/>
      <c r="AB91" s="115">
        <v>7.45</v>
      </c>
      <c r="AC91" s="115">
        <v>0.24585000000000001</v>
      </c>
      <c r="AD91" s="115">
        <v>2.276388888888889</v>
      </c>
      <c r="AE91" s="115"/>
    </row>
    <row r="92" spans="2:33" s="94" customFormat="1" ht="30.6" customHeight="1">
      <c r="B92" s="95"/>
      <c r="C92" s="95"/>
      <c r="D92" s="95"/>
      <c r="E92" s="115" t="s">
        <v>17</v>
      </c>
      <c r="F92" s="115"/>
      <c r="G92" s="107"/>
      <c r="H92" s="244" t="s">
        <v>683</v>
      </c>
      <c r="I92" s="107">
        <v>2030</v>
      </c>
      <c r="J92" s="107"/>
      <c r="K92" s="115">
        <f>CCS!V$52</f>
        <v>0.20833333333333334</v>
      </c>
      <c r="L92" s="115">
        <v>1.173</v>
      </c>
      <c r="N92" s="115"/>
      <c r="O92" s="115"/>
      <c r="P92" s="115"/>
      <c r="Q92" s="98">
        <f>AB92+CCS!N$54/1000*7.45</f>
        <v>14.5275</v>
      </c>
      <c r="R92" s="98">
        <f>Q92*CCS!E$59/100</f>
        <v>0.3631875</v>
      </c>
      <c r="S92" s="98">
        <f>AD92+CCS!$N$60/3.6*7.45</f>
        <v>6.2083333333333339</v>
      </c>
      <c r="T92" s="95"/>
      <c r="U92" s="95"/>
      <c r="V92" s="95"/>
      <c r="W92" s="95"/>
      <c r="X92" s="95"/>
      <c r="Y92" s="95"/>
      <c r="Z92" s="95"/>
      <c r="AB92" s="115">
        <v>7.45</v>
      </c>
      <c r="AC92" s="115">
        <v>0.2384</v>
      </c>
      <c r="AD92" s="115">
        <v>2.276388888888889</v>
      </c>
      <c r="AE92" s="115"/>
    </row>
    <row r="93" spans="2:33" s="94" customFormat="1" ht="30.6" customHeight="1">
      <c r="B93" s="95"/>
      <c r="C93" s="95"/>
      <c r="D93" s="95"/>
      <c r="E93" s="115" t="s">
        <v>17</v>
      </c>
      <c r="F93" s="115"/>
      <c r="G93" s="107"/>
      <c r="H93" s="244" t="s">
        <v>683</v>
      </c>
      <c r="I93" s="107">
        <v>2050</v>
      </c>
      <c r="J93" s="107"/>
      <c r="K93" s="115">
        <f>CCS!W$52</f>
        <v>0.20833333333333334</v>
      </c>
      <c r="L93" s="115">
        <v>1.173</v>
      </c>
      <c r="N93" s="115"/>
      <c r="O93" s="115"/>
      <c r="P93" s="115"/>
      <c r="Q93" s="98">
        <f>AB93+CCS!P$54/1000*7.45</f>
        <v>13.782499999999999</v>
      </c>
      <c r="R93" s="98">
        <f>Q93*CCS!G$59/100</f>
        <v>0.34456249999999999</v>
      </c>
      <c r="S93" s="98">
        <f>AD93+CCS!$P$60/3.6*7.45</f>
        <v>6.2083333333333339</v>
      </c>
      <c r="T93" s="95"/>
      <c r="U93" s="95"/>
      <c r="V93" s="95"/>
      <c r="W93" s="95"/>
      <c r="X93" s="95"/>
      <c r="Y93" s="95"/>
      <c r="Z93" s="95"/>
      <c r="AB93" s="115">
        <v>6.7050000000000001</v>
      </c>
      <c r="AC93" s="115">
        <v>0.2235</v>
      </c>
      <c r="AD93" s="115">
        <v>2.276388888888889</v>
      </c>
      <c r="AE93" s="115"/>
    </row>
    <row r="94" spans="2:33" ht="30.6" customHeight="1">
      <c r="B94" s="115" t="s">
        <v>211</v>
      </c>
      <c r="C94" s="115" t="s">
        <v>212</v>
      </c>
      <c r="D94" s="115" t="s">
        <v>23</v>
      </c>
      <c r="E94" s="115"/>
      <c r="F94" s="94" t="s">
        <v>899</v>
      </c>
      <c r="G94" s="116"/>
      <c r="H94" s="244" t="s">
        <v>683</v>
      </c>
      <c r="I94" s="115">
        <v>2013</v>
      </c>
      <c r="J94" s="114">
        <v>2030</v>
      </c>
      <c r="K94" s="94"/>
      <c r="L94" s="115">
        <v>1.044</v>
      </c>
      <c r="M94" s="115"/>
      <c r="N94" s="115"/>
      <c r="O94" s="115"/>
      <c r="P94" s="115"/>
      <c r="Q94" s="98">
        <f>AB94+CCS!L$54/1000*7.45</f>
        <v>15.645</v>
      </c>
      <c r="R94" s="98">
        <f>Q94*CCS!C$59/100</f>
        <v>0.39112499999999994</v>
      </c>
      <c r="S94" s="98">
        <f>AD94+CCS!$L$60/3.6*7.45</f>
        <v>6.0013888888888891</v>
      </c>
      <c r="T94" s="97">
        <v>3.1536000000000002E-2</v>
      </c>
      <c r="U94" s="97">
        <v>0.9</v>
      </c>
      <c r="V94" s="97">
        <v>1</v>
      </c>
      <c r="W94" s="115">
        <v>25</v>
      </c>
      <c r="X94" s="115">
        <v>1</v>
      </c>
      <c r="Y94" s="50"/>
      <c r="Z94" s="50"/>
      <c r="AB94" s="115">
        <v>5.2149999999999999</v>
      </c>
      <c r="AC94" s="115">
        <v>0.29799999999999999</v>
      </c>
      <c r="AD94" s="115">
        <v>2.0694444444444446</v>
      </c>
      <c r="AE94" s="115"/>
    </row>
    <row r="95" spans="2:33" s="94" customFormat="1" ht="30.6" customHeight="1">
      <c r="E95" s="115" t="s">
        <v>17</v>
      </c>
      <c r="F95" s="2"/>
      <c r="G95" s="116"/>
      <c r="H95" s="244" t="s">
        <v>683</v>
      </c>
      <c r="I95" s="115">
        <v>2013</v>
      </c>
      <c r="J95" s="114"/>
      <c r="K95" s="115">
        <f>CCS!S$52</f>
        <v>0.24444444444444444</v>
      </c>
      <c r="L95" s="115"/>
      <c r="M95" s="115"/>
      <c r="N95" s="115"/>
      <c r="O95" s="115"/>
      <c r="P95" s="115"/>
      <c r="Q95" s="114"/>
      <c r="R95" s="114"/>
      <c r="S95" s="114"/>
      <c r="T95" s="97"/>
      <c r="U95" s="97"/>
      <c r="V95" s="97"/>
      <c r="W95" s="115"/>
      <c r="X95" s="115"/>
      <c r="Y95" s="95"/>
      <c r="Z95" s="95"/>
      <c r="AB95" s="115"/>
      <c r="AC95" s="115"/>
      <c r="AD95" s="115"/>
      <c r="AE95" s="115"/>
    </row>
    <row r="96" spans="2:33" s="94" customFormat="1" ht="30.6" customHeight="1">
      <c r="E96" s="115"/>
      <c r="G96" s="114" t="s">
        <v>879</v>
      </c>
      <c r="H96" s="244" t="s">
        <v>683</v>
      </c>
      <c r="I96" s="114">
        <v>2013</v>
      </c>
      <c r="J96" s="115"/>
      <c r="L96" s="115"/>
      <c r="M96" s="114">
        <f>Emis!C11*CCS!$C$52/100/L94</f>
        <v>78.833333333333329</v>
      </c>
      <c r="N96" s="115"/>
      <c r="O96" s="115"/>
      <c r="P96" s="115"/>
      <c r="Q96" s="114"/>
      <c r="R96" s="114"/>
      <c r="S96" s="114"/>
      <c r="T96" s="115"/>
      <c r="U96" s="115"/>
      <c r="V96" s="115"/>
      <c r="W96" s="115"/>
      <c r="X96" s="115"/>
      <c r="Y96" s="95"/>
      <c r="Z96" s="95"/>
      <c r="AB96" s="115"/>
      <c r="AC96" s="115"/>
      <c r="AD96" s="115"/>
      <c r="AE96" s="115"/>
    </row>
    <row r="97" spans="2:31" ht="30.6" customHeight="1">
      <c r="B97" s="2"/>
      <c r="C97" s="2"/>
      <c r="D97" s="2"/>
      <c r="F97" s="94"/>
      <c r="G97" s="116"/>
      <c r="H97" s="244" t="s">
        <v>683</v>
      </c>
      <c r="I97" s="115">
        <v>2020</v>
      </c>
      <c r="J97" s="115"/>
      <c r="K97" s="115"/>
      <c r="L97" s="115">
        <v>1.08</v>
      </c>
      <c r="M97" s="94"/>
      <c r="N97" s="115"/>
      <c r="O97" s="115"/>
      <c r="P97" s="115"/>
      <c r="Q97" s="98">
        <f>AB97+CCS!M$54/1000*7.45</f>
        <v>13.41</v>
      </c>
      <c r="R97" s="98">
        <f>Q97*CCS!D$59/100</f>
        <v>0.33524999999999999</v>
      </c>
      <c r="S97" s="98">
        <f>AD97+CCS!$M$60/3.6*7.45</f>
        <v>6.0013888888888891</v>
      </c>
      <c r="T97" s="115"/>
      <c r="U97" s="115"/>
      <c r="V97" s="115"/>
      <c r="W97" s="115"/>
      <c r="X97" s="115"/>
      <c r="Y97" s="50"/>
      <c r="Z97" s="50"/>
      <c r="AB97" s="115">
        <v>5.2149999999999999</v>
      </c>
      <c r="AC97" s="115">
        <v>0.29054999999999997</v>
      </c>
      <c r="AD97" s="115">
        <v>2.0694444444444446</v>
      </c>
      <c r="AE97" s="115"/>
    </row>
    <row r="98" spans="2:31" s="94" customFormat="1" ht="30.6" customHeight="1">
      <c r="E98" s="115" t="s">
        <v>17</v>
      </c>
      <c r="G98" s="116"/>
      <c r="H98" s="244" t="s">
        <v>683</v>
      </c>
      <c r="I98" s="115">
        <v>2020</v>
      </c>
      <c r="J98" s="115"/>
      <c r="K98" s="115">
        <f>CCS!T$52</f>
        <v>0.2391304347826087</v>
      </c>
      <c r="L98" s="115"/>
      <c r="N98" s="115"/>
      <c r="O98" s="115"/>
      <c r="P98" s="115"/>
      <c r="Q98" s="98"/>
      <c r="R98" s="98"/>
      <c r="S98" s="98"/>
      <c r="T98" s="115"/>
      <c r="U98" s="115"/>
      <c r="V98" s="115"/>
      <c r="W98" s="115"/>
      <c r="X98" s="115"/>
      <c r="Y98" s="115"/>
      <c r="Z98" s="115"/>
      <c r="AB98" s="115"/>
      <c r="AC98" s="115"/>
      <c r="AD98" s="115"/>
      <c r="AE98" s="115"/>
    </row>
    <row r="99" spans="2:31" s="94" customFormat="1" ht="30.6" customHeight="1">
      <c r="G99" s="115"/>
      <c r="H99" s="244" t="s">
        <v>683</v>
      </c>
      <c r="I99" s="115">
        <v>2030</v>
      </c>
      <c r="J99" s="115"/>
      <c r="K99" s="115"/>
      <c r="L99" s="115">
        <v>1.08</v>
      </c>
      <c r="N99" s="115"/>
      <c r="O99" s="115"/>
      <c r="P99" s="115"/>
      <c r="Q99" s="98">
        <f>AB99+CCS!N$54/1000*7.45</f>
        <v>11.547499999999999</v>
      </c>
      <c r="R99" s="98">
        <f>Q99*CCS!E$59/100</f>
        <v>0.28868749999999999</v>
      </c>
      <c r="S99" s="98">
        <f>AD99+CCS!$N$60/3.6*7.45</f>
        <v>6.0013888888888891</v>
      </c>
      <c r="T99" s="115"/>
      <c r="U99" s="115"/>
      <c r="V99" s="115"/>
      <c r="W99" s="115"/>
      <c r="X99" s="115"/>
      <c r="Y99" s="95"/>
      <c r="Z99" s="95"/>
      <c r="AB99" s="115">
        <v>4.47</v>
      </c>
      <c r="AC99" s="115">
        <v>0.26819999999999999</v>
      </c>
      <c r="AD99" s="115">
        <v>2.0694444444444446</v>
      </c>
      <c r="AE99" s="115"/>
    </row>
    <row r="100" spans="2:31" s="94" customFormat="1" ht="30.6" customHeight="1">
      <c r="E100" s="115" t="s">
        <v>17</v>
      </c>
      <c r="G100" s="115"/>
      <c r="H100" s="244" t="s">
        <v>683</v>
      </c>
      <c r="I100" s="115">
        <v>2030</v>
      </c>
      <c r="J100" s="115"/>
      <c r="K100" s="115">
        <f>CCS!V$52</f>
        <v>0.20833333333333334</v>
      </c>
      <c r="L100" s="115"/>
      <c r="N100" s="115"/>
      <c r="O100" s="115"/>
      <c r="P100" s="115"/>
      <c r="Q100" s="98"/>
      <c r="R100" s="98"/>
      <c r="S100" s="98"/>
      <c r="T100" s="115"/>
      <c r="U100" s="115"/>
      <c r="V100" s="115"/>
      <c r="W100" s="115"/>
      <c r="X100" s="115"/>
      <c r="Y100" s="115"/>
      <c r="Z100" s="115"/>
      <c r="AB100" s="115"/>
      <c r="AC100" s="115"/>
      <c r="AD100" s="115"/>
      <c r="AE100" s="115"/>
    </row>
    <row r="101" spans="2:31" s="94" customFormat="1" ht="30.6" customHeight="1">
      <c r="F101" s="2"/>
      <c r="G101" s="115"/>
      <c r="H101" s="244" t="s">
        <v>683</v>
      </c>
      <c r="I101" s="115">
        <v>2050</v>
      </c>
      <c r="J101" s="115"/>
      <c r="K101" s="115"/>
      <c r="L101" s="115">
        <v>1.08</v>
      </c>
      <c r="N101" s="115"/>
      <c r="O101" s="115"/>
      <c r="P101" s="115"/>
      <c r="Q101" s="98">
        <f>AB101+CCS!P$54/1000*7.45</f>
        <v>11.547499999999999</v>
      </c>
      <c r="R101" s="98">
        <f>Q101*CCS!G$59/100</f>
        <v>0.28868749999999999</v>
      </c>
      <c r="S101" s="98">
        <f>AD101+CCS!$P$60/3.6*7.45</f>
        <v>6.0013888888888891</v>
      </c>
      <c r="T101" s="115"/>
      <c r="U101" s="115"/>
      <c r="V101" s="115"/>
      <c r="W101" s="115"/>
      <c r="X101" s="115"/>
      <c r="Y101" s="95"/>
      <c r="Z101" s="95"/>
      <c r="AB101" s="115">
        <v>4.47</v>
      </c>
      <c r="AC101" s="115">
        <v>0.2384</v>
      </c>
      <c r="AD101" s="115">
        <v>2.0694444444444446</v>
      </c>
      <c r="AE101" s="115"/>
    </row>
    <row r="102" spans="2:31" s="94" customFormat="1" ht="30.6" customHeight="1">
      <c r="E102" s="115" t="s">
        <v>17</v>
      </c>
      <c r="G102" s="115"/>
      <c r="H102" s="244" t="s">
        <v>683</v>
      </c>
      <c r="I102" s="115">
        <v>2050</v>
      </c>
      <c r="J102" s="115"/>
      <c r="K102" s="115">
        <f>CCS!W$52</f>
        <v>0.20833333333333334</v>
      </c>
      <c r="L102" s="115"/>
      <c r="N102" s="115"/>
      <c r="O102" s="115"/>
      <c r="P102" s="115"/>
      <c r="Q102" s="98"/>
      <c r="R102" s="98"/>
      <c r="S102" s="98"/>
      <c r="T102" s="115"/>
      <c r="U102" s="115"/>
      <c r="V102" s="115"/>
      <c r="W102" s="115"/>
      <c r="X102" s="115"/>
      <c r="Y102" s="115"/>
      <c r="Z102" s="115"/>
      <c r="AB102" s="115"/>
      <c r="AC102" s="115"/>
      <c r="AD102" s="115"/>
      <c r="AE102" s="115"/>
    </row>
    <row r="103" spans="2:31" ht="30.6" customHeight="1">
      <c r="B103" s="115" t="s">
        <v>213</v>
      </c>
      <c r="C103" s="115" t="s">
        <v>214</v>
      </c>
      <c r="D103" s="94" t="s">
        <v>182</v>
      </c>
      <c r="E103" s="94"/>
      <c r="F103" s="94" t="s">
        <v>899</v>
      </c>
      <c r="G103" s="116"/>
      <c r="H103" s="244" t="s">
        <v>683</v>
      </c>
      <c r="I103" s="115">
        <v>2013</v>
      </c>
      <c r="J103" s="114">
        <v>2030</v>
      </c>
      <c r="K103" s="94"/>
      <c r="L103" s="115">
        <v>1.024</v>
      </c>
      <c r="M103" s="115"/>
      <c r="N103" s="115"/>
      <c r="O103" s="115"/>
      <c r="P103" s="115"/>
      <c r="Q103" s="98">
        <f>AB103+CCS!L$54/1000*7.45</f>
        <v>17.88</v>
      </c>
      <c r="R103" s="98">
        <f>Q103*CCS!C$59/100</f>
        <v>0.44699999999999995</v>
      </c>
      <c r="S103" s="98">
        <f>AD103+CCS!$L$60/3.6*7.45</f>
        <v>6.0013888888888891</v>
      </c>
      <c r="T103" s="97">
        <v>3.1536000000000002E-2</v>
      </c>
      <c r="U103" s="97">
        <v>0.9</v>
      </c>
      <c r="V103" s="97">
        <v>1</v>
      </c>
      <c r="W103" s="115">
        <v>25</v>
      </c>
      <c r="X103" s="115">
        <v>1</v>
      </c>
      <c r="Y103" s="50"/>
      <c r="Z103" s="50"/>
      <c r="AB103" s="115">
        <v>7.45</v>
      </c>
      <c r="AC103" s="115">
        <v>0.25330000000000003</v>
      </c>
      <c r="AD103" s="115">
        <v>2.0694444444444446</v>
      </c>
      <c r="AE103" s="115"/>
    </row>
    <row r="104" spans="2:31" s="94" customFormat="1" ht="30.6" customHeight="1">
      <c r="B104" s="2"/>
      <c r="C104" s="2"/>
      <c r="E104" s="115" t="s">
        <v>17</v>
      </c>
      <c r="G104" s="116"/>
      <c r="H104" s="244" t="s">
        <v>683</v>
      </c>
      <c r="I104" s="115">
        <v>2013</v>
      </c>
      <c r="J104" s="114"/>
      <c r="K104" s="115">
        <f>CCS!S$52</f>
        <v>0.24444444444444444</v>
      </c>
      <c r="L104" s="115"/>
      <c r="M104" s="115"/>
      <c r="N104" s="115"/>
      <c r="O104" s="115"/>
      <c r="P104" s="115"/>
      <c r="Q104" s="114"/>
      <c r="R104" s="114"/>
      <c r="S104" s="114"/>
      <c r="T104" s="97"/>
      <c r="U104" s="97"/>
      <c r="V104" s="97"/>
      <c r="W104" s="115"/>
      <c r="X104" s="115"/>
      <c r="Y104" s="95"/>
      <c r="Z104" s="95"/>
      <c r="AB104" s="115"/>
      <c r="AC104" s="115"/>
      <c r="AD104" s="115"/>
      <c r="AE104" s="115"/>
    </row>
    <row r="105" spans="2:31" ht="30.6" customHeight="1">
      <c r="B105" s="2"/>
      <c r="G105" s="114" t="s">
        <v>879</v>
      </c>
      <c r="H105" s="244" t="s">
        <v>683</v>
      </c>
      <c r="I105" s="115">
        <v>2013</v>
      </c>
      <c r="J105" s="115"/>
      <c r="K105" s="115"/>
      <c r="L105" s="115"/>
      <c r="M105" s="114">
        <f>Emis!C11*CCS!$C$52/100/L94</f>
        <v>78.833333333333329</v>
      </c>
      <c r="N105" s="115"/>
      <c r="O105" s="115"/>
      <c r="P105" s="115"/>
      <c r="Q105" s="98">
        <f>AB105+CCS!M$54/1000*7.45</f>
        <v>15.645</v>
      </c>
      <c r="R105" s="98">
        <f>Q105*CCS!D$59/100</f>
        <v>0.39112499999999994</v>
      </c>
      <c r="S105" s="98">
        <f>AD105+CCS!$M$60/3.6*7.45</f>
        <v>6.0013888888888891</v>
      </c>
      <c r="T105" s="115"/>
      <c r="U105" s="115"/>
      <c r="V105" s="115"/>
      <c r="W105" s="115"/>
      <c r="X105" s="115"/>
      <c r="Y105" s="50"/>
      <c r="Z105" s="50"/>
      <c r="AB105" s="115">
        <v>7.45</v>
      </c>
      <c r="AC105" s="115">
        <v>0.24585000000000001</v>
      </c>
      <c r="AD105" s="115">
        <v>2.0694444444444446</v>
      </c>
      <c r="AE105" s="115"/>
    </row>
    <row r="106" spans="2:31" s="94" customFormat="1" ht="30.6" customHeight="1">
      <c r="C106" s="114"/>
      <c r="D106" s="114"/>
      <c r="E106" s="114"/>
      <c r="F106" s="114"/>
      <c r="G106" s="114"/>
      <c r="H106" s="244" t="s">
        <v>683</v>
      </c>
      <c r="I106" s="115">
        <v>2020</v>
      </c>
      <c r="J106" s="115"/>
      <c r="K106" s="115"/>
      <c r="L106" s="115">
        <v>1.024</v>
      </c>
      <c r="M106" s="114"/>
      <c r="N106" s="115"/>
      <c r="O106" s="115"/>
      <c r="P106" s="115"/>
      <c r="Q106" s="98"/>
      <c r="R106" s="98"/>
      <c r="S106" s="98"/>
      <c r="T106" s="115"/>
      <c r="U106" s="115"/>
      <c r="V106" s="115"/>
      <c r="W106" s="115"/>
      <c r="X106" s="115"/>
      <c r="Y106" s="115"/>
      <c r="Z106" s="115"/>
      <c r="AB106" s="115"/>
      <c r="AC106" s="115"/>
      <c r="AD106" s="115"/>
      <c r="AE106" s="115"/>
    </row>
    <row r="107" spans="2:31" s="94" customFormat="1" ht="30.6" customHeight="1">
      <c r="C107" s="114"/>
      <c r="D107" s="114"/>
      <c r="E107" s="115" t="s">
        <v>17</v>
      </c>
      <c r="F107" s="114"/>
      <c r="G107" s="116"/>
      <c r="H107" s="244" t="s">
        <v>683</v>
      </c>
      <c r="I107" s="115">
        <v>2020</v>
      </c>
      <c r="J107" s="115"/>
      <c r="K107" s="115">
        <f>CCS!T$52</f>
        <v>0.2391304347826087</v>
      </c>
      <c r="L107" s="115"/>
      <c r="N107" s="115"/>
      <c r="O107" s="115"/>
      <c r="P107" s="115"/>
      <c r="Q107" s="98"/>
      <c r="R107" s="98"/>
      <c r="S107" s="98"/>
      <c r="T107" s="115"/>
      <c r="U107" s="115"/>
      <c r="V107" s="115"/>
      <c r="W107" s="115"/>
      <c r="X107" s="115"/>
      <c r="Y107" s="115"/>
      <c r="Z107" s="115"/>
      <c r="AB107" s="115"/>
      <c r="AC107" s="115"/>
      <c r="AD107" s="115"/>
      <c r="AE107" s="115"/>
    </row>
    <row r="108" spans="2:31" s="94" customFormat="1" ht="30.6" customHeight="1">
      <c r="B108" s="2"/>
      <c r="C108" s="1"/>
      <c r="D108" s="1"/>
      <c r="E108" s="114"/>
      <c r="F108" s="1"/>
      <c r="G108" s="115"/>
      <c r="H108" s="244" t="s">
        <v>683</v>
      </c>
      <c r="I108" s="115">
        <v>2030</v>
      </c>
      <c r="J108" s="115"/>
      <c r="K108" s="115"/>
      <c r="L108" s="115">
        <v>1.024</v>
      </c>
      <c r="N108" s="115"/>
      <c r="O108" s="115"/>
      <c r="P108" s="115"/>
      <c r="Q108" s="98">
        <f>AB108+CCS!N$54/1000*7.45</f>
        <v>13.782499999999999</v>
      </c>
      <c r="R108" s="98">
        <f>Q108*CCS!E$59/100</f>
        <v>0.34456249999999999</v>
      </c>
      <c r="S108" s="98">
        <f>AD108+CCS!$N$60/3.6*7.45</f>
        <v>6.0013888888888891</v>
      </c>
      <c r="T108" s="115"/>
      <c r="U108" s="115"/>
      <c r="V108" s="115"/>
      <c r="W108" s="115"/>
      <c r="X108" s="115"/>
      <c r="Y108" s="95"/>
      <c r="Z108" s="95"/>
      <c r="AB108" s="115">
        <v>6.7050000000000001</v>
      </c>
      <c r="AC108" s="115">
        <v>0.23094999999999999</v>
      </c>
      <c r="AD108" s="115">
        <v>2.0694444444444446</v>
      </c>
      <c r="AE108" s="115"/>
    </row>
    <row r="109" spans="2:31" s="94" customFormat="1" ht="30.6" customHeight="1">
      <c r="C109" s="114"/>
      <c r="D109" s="114"/>
      <c r="E109" s="115" t="s">
        <v>17</v>
      </c>
      <c r="F109" s="114"/>
      <c r="G109" s="115"/>
      <c r="H109" s="244" t="s">
        <v>683</v>
      </c>
      <c r="I109" s="115">
        <v>2030</v>
      </c>
      <c r="J109" s="115"/>
      <c r="K109" s="115">
        <f>CCS!V$52</f>
        <v>0.20833333333333334</v>
      </c>
      <c r="L109" s="115"/>
      <c r="N109" s="115"/>
      <c r="O109" s="115"/>
      <c r="P109" s="115"/>
      <c r="Q109" s="98"/>
      <c r="R109" s="98"/>
      <c r="S109" s="98"/>
      <c r="T109" s="115"/>
      <c r="U109" s="115"/>
      <c r="V109" s="115"/>
      <c r="W109" s="115"/>
      <c r="X109" s="115"/>
      <c r="Y109" s="115"/>
      <c r="Z109" s="115"/>
      <c r="AB109" s="115"/>
      <c r="AC109" s="115"/>
      <c r="AD109" s="115"/>
      <c r="AE109" s="115"/>
    </row>
    <row r="110" spans="2:31" s="94" customFormat="1" ht="30.6" customHeight="1">
      <c r="B110" s="2"/>
      <c r="C110" s="1"/>
      <c r="D110" s="1"/>
      <c r="E110" s="114"/>
      <c r="F110" s="1"/>
      <c r="G110" s="115"/>
      <c r="H110" s="244" t="s">
        <v>683</v>
      </c>
      <c r="I110" s="115">
        <v>2050</v>
      </c>
      <c r="J110" s="115"/>
      <c r="K110" s="115"/>
      <c r="L110" s="115">
        <v>1.024</v>
      </c>
      <c r="N110" s="115"/>
      <c r="O110" s="115"/>
      <c r="P110" s="115"/>
      <c r="Q110" s="98">
        <f>AB110+CCS!P$54/1000*7.45</f>
        <v>13.037500000000001</v>
      </c>
      <c r="R110" s="98">
        <f>Q110*CCS!G$59/100</f>
        <v>0.32593749999999999</v>
      </c>
      <c r="S110" s="98">
        <f>AD110+CCS!$P$60/3.6*7.45</f>
        <v>6.0013888888888891</v>
      </c>
      <c r="T110" s="115"/>
      <c r="U110" s="115"/>
      <c r="V110" s="115"/>
      <c r="W110" s="115"/>
      <c r="X110" s="115"/>
      <c r="Y110" s="115"/>
      <c r="Z110" s="115"/>
      <c r="AB110" s="115">
        <v>5.9600000000000009</v>
      </c>
      <c r="AC110" s="115">
        <v>0.20860000000000001</v>
      </c>
      <c r="AD110" s="115">
        <v>2.0694444444444446</v>
      </c>
      <c r="AE110" s="115"/>
    </row>
    <row r="111" spans="2:31" s="94" customFormat="1" ht="30.6" customHeight="1">
      <c r="C111" s="114"/>
      <c r="D111" s="114"/>
      <c r="E111" s="115" t="s">
        <v>17</v>
      </c>
      <c r="F111" s="114"/>
      <c r="G111" s="115"/>
      <c r="H111" s="244" t="s">
        <v>683</v>
      </c>
      <c r="I111" s="115">
        <v>2050</v>
      </c>
      <c r="J111" s="115"/>
      <c r="K111" s="115">
        <f>CCS!W$52</f>
        <v>0.20833333333333334</v>
      </c>
      <c r="L111" s="115"/>
      <c r="N111" s="115"/>
      <c r="O111" s="115"/>
      <c r="P111" s="115"/>
      <c r="Q111" s="98"/>
      <c r="R111" s="98"/>
      <c r="S111" s="98"/>
      <c r="T111" s="115"/>
      <c r="U111" s="115"/>
      <c r="V111" s="115"/>
      <c r="W111" s="115"/>
      <c r="X111" s="115"/>
      <c r="Y111" s="115"/>
      <c r="Z111" s="115"/>
      <c r="AB111" s="115"/>
      <c r="AC111" s="115"/>
      <c r="AD111" s="115"/>
      <c r="AE111" s="115"/>
    </row>
    <row r="112" spans="2:31" s="94" customFormat="1" ht="30.6" customHeight="1">
      <c r="B112" s="115" t="s">
        <v>215</v>
      </c>
      <c r="C112" s="115" t="s">
        <v>216</v>
      </c>
      <c r="D112" s="115" t="s">
        <v>21</v>
      </c>
      <c r="E112" s="114"/>
      <c r="F112" s="1" t="s">
        <v>899</v>
      </c>
      <c r="G112" s="116"/>
      <c r="H112" s="244" t="s">
        <v>683</v>
      </c>
      <c r="I112" s="115">
        <v>2013</v>
      </c>
      <c r="J112" s="114">
        <v>2030</v>
      </c>
      <c r="L112" s="115">
        <v>1.05</v>
      </c>
      <c r="M112" s="115"/>
      <c r="N112" s="115"/>
      <c r="O112" s="115"/>
      <c r="P112" s="115"/>
      <c r="Q112" s="98">
        <f>AB112+CCS!L$54/1000*7.45</f>
        <v>10.876999999999999</v>
      </c>
      <c r="R112" s="98">
        <f>Q112*CCS!C$59/100</f>
        <v>0.27192499999999997</v>
      </c>
      <c r="S112" s="98">
        <f>AD112+CCS!$L$60/3.6*7.45</f>
        <v>6.2083333333333339</v>
      </c>
      <c r="T112" s="97">
        <v>3.1536000000000002E-2</v>
      </c>
      <c r="U112" s="97">
        <v>0.9</v>
      </c>
      <c r="V112" s="97">
        <v>1</v>
      </c>
      <c r="W112" s="115">
        <v>25</v>
      </c>
      <c r="X112" s="115">
        <v>0.5</v>
      </c>
      <c r="Y112" s="115"/>
      <c r="Z112" s="115"/>
      <c r="AB112" s="115">
        <v>0.44700000000000001</v>
      </c>
      <c r="AC112" s="115">
        <v>1.49E-2</v>
      </c>
      <c r="AD112" s="115">
        <v>2.276388888888889</v>
      </c>
      <c r="AE112" s="115"/>
    </row>
    <row r="113" spans="2:31" ht="30.6" customHeight="1">
      <c r="B113" s="94"/>
      <c r="C113" s="94"/>
      <c r="E113" s="115" t="s">
        <v>17</v>
      </c>
      <c r="G113" s="116"/>
      <c r="H113" s="244" t="s">
        <v>683</v>
      </c>
      <c r="I113" s="115">
        <v>2013</v>
      </c>
      <c r="J113" s="114"/>
      <c r="K113" s="115">
        <f>CCS!S$52</f>
        <v>0.24444444444444444</v>
      </c>
      <c r="L113" s="115"/>
      <c r="M113" s="115"/>
      <c r="N113" s="115"/>
      <c r="O113" s="115"/>
      <c r="P113" s="115"/>
      <c r="Q113" s="114"/>
      <c r="R113" s="114"/>
      <c r="S113" s="114"/>
      <c r="T113" s="97"/>
      <c r="U113" s="97"/>
      <c r="V113" s="97"/>
      <c r="W113" s="115"/>
      <c r="X113" s="115"/>
      <c r="Y113" s="50"/>
      <c r="Z113" s="50"/>
      <c r="AB113" s="115"/>
      <c r="AC113" s="115"/>
      <c r="AD113" s="115"/>
      <c r="AE113" s="115"/>
    </row>
    <row r="114" spans="2:31" s="94" customFormat="1" ht="30.6" customHeight="1">
      <c r="D114" s="1"/>
      <c r="F114" s="1"/>
      <c r="G114" s="114" t="s">
        <v>881</v>
      </c>
      <c r="H114" s="244" t="s">
        <v>683</v>
      </c>
      <c r="I114" s="114">
        <v>2013</v>
      </c>
      <c r="J114" s="115"/>
      <c r="L114" s="115"/>
      <c r="M114" s="114">
        <f>Emis!F11*CCS!$C$52/100/L112</f>
        <v>47.187142857142867</v>
      </c>
      <c r="N114" s="115"/>
      <c r="O114" s="115"/>
      <c r="P114" s="115"/>
      <c r="Q114" s="114"/>
      <c r="R114" s="114"/>
      <c r="S114" s="114"/>
      <c r="T114" s="115"/>
      <c r="U114" s="115"/>
      <c r="V114" s="115"/>
      <c r="W114" s="115"/>
      <c r="X114" s="115"/>
      <c r="Y114" s="115"/>
      <c r="Z114" s="115"/>
      <c r="AB114" s="115"/>
      <c r="AC114" s="115"/>
      <c r="AD114" s="115"/>
      <c r="AE114" s="115"/>
    </row>
    <row r="115" spans="2:31" s="94" customFormat="1" ht="30.6" customHeight="1">
      <c r="D115" s="1"/>
      <c r="E115" s="114"/>
      <c r="F115" s="1"/>
      <c r="G115" s="116"/>
      <c r="H115" s="244" t="s">
        <v>683</v>
      </c>
      <c r="I115" s="115">
        <v>2020</v>
      </c>
      <c r="J115" s="115"/>
      <c r="K115" s="115"/>
      <c r="L115" s="115">
        <v>1.05</v>
      </c>
      <c r="N115" s="115"/>
      <c r="O115" s="115"/>
      <c r="P115" s="115"/>
      <c r="Q115" s="98">
        <f>AB115+CCS!M$54/1000*7.45</f>
        <v>8.6419999999999995</v>
      </c>
      <c r="R115" s="98">
        <f>Q115*CCS!D$59/100</f>
        <v>0.21604999999999996</v>
      </c>
      <c r="S115" s="98">
        <f>AD115+CCS!$M$60/3.6*7.45</f>
        <v>6.2083333333333339</v>
      </c>
      <c r="T115" s="115"/>
      <c r="U115" s="115"/>
      <c r="V115" s="115"/>
      <c r="W115" s="115"/>
      <c r="X115" s="115"/>
      <c r="Y115" s="95"/>
      <c r="Z115" s="95"/>
      <c r="AB115" s="115">
        <v>0.44700000000000001</v>
      </c>
      <c r="AC115" s="115">
        <v>1.45275E-2</v>
      </c>
      <c r="AD115" s="115">
        <v>2.276388888888889</v>
      </c>
      <c r="AE115" s="115"/>
    </row>
    <row r="116" spans="2:31" s="94" customFormat="1" ht="30.6" customHeight="1">
      <c r="D116" s="114"/>
      <c r="E116" s="115" t="s">
        <v>17</v>
      </c>
      <c r="F116" s="114"/>
      <c r="G116" s="116"/>
      <c r="H116" s="244" t="s">
        <v>683</v>
      </c>
      <c r="I116" s="115">
        <v>2020</v>
      </c>
      <c r="J116" s="115"/>
      <c r="K116" s="115">
        <f>CCS!T$52</f>
        <v>0.2391304347826087</v>
      </c>
      <c r="L116" s="115"/>
      <c r="N116" s="115"/>
      <c r="O116" s="115"/>
      <c r="P116" s="115"/>
      <c r="Q116" s="98"/>
      <c r="R116" s="98"/>
      <c r="S116" s="98"/>
      <c r="T116" s="115"/>
      <c r="U116" s="115"/>
      <c r="V116" s="115"/>
      <c r="W116" s="115"/>
      <c r="X116" s="115"/>
      <c r="Y116" s="115"/>
      <c r="Z116" s="115"/>
      <c r="AB116" s="115"/>
      <c r="AC116" s="115"/>
      <c r="AD116" s="115"/>
      <c r="AE116" s="115"/>
    </row>
    <row r="117" spans="2:31" s="94" customFormat="1" ht="30.6" customHeight="1">
      <c r="B117" s="2"/>
      <c r="C117" s="1"/>
      <c r="D117" s="1"/>
      <c r="E117" s="114"/>
      <c r="F117" s="1"/>
      <c r="G117" s="115"/>
      <c r="H117" s="244" t="s">
        <v>683</v>
      </c>
      <c r="I117" s="115">
        <v>2030</v>
      </c>
      <c r="J117" s="115"/>
      <c r="K117" s="115"/>
      <c r="L117" s="115">
        <v>1.05</v>
      </c>
      <c r="N117" s="115"/>
      <c r="O117" s="115"/>
      <c r="P117" s="115"/>
      <c r="Q117" s="98">
        <f>AB117+CCS!N$54/1000*7.45</f>
        <v>7.4499999999999993</v>
      </c>
      <c r="R117" s="98">
        <f>Q117*CCS!E$59/100</f>
        <v>0.18625</v>
      </c>
      <c r="S117" s="98">
        <f>AD117+CCS!$N$60/3.6*7.45</f>
        <v>6.0013888888888891</v>
      </c>
      <c r="T117" s="115"/>
      <c r="U117" s="115"/>
      <c r="V117" s="115"/>
      <c r="W117" s="115"/>
      <c r="X117" s="115"/>
      <c r="Y117" s="95"/>
      <c r="Z117" s="95"/>
      <c r="AB117" s="115">
        <v>0.37250000000000005</v>
      </c>
      <c r="AC117" s="115">
        <v>1.4154999999999999E-2</v>
      </c>
      <c r="AD117" s="115">
        <v>2.0694444444444446</v>
      </c>
      <c r="AE117" s="115"/>
    </row>
    <row r="118" spans="2:31" s="94" customFormat="1" ht="30.6" customHeight="1">
      <c r="C118" s="114"/>
      <c r="D118" s="114"/>
      <c r="E118" s="115" t="s">
        <v>17</v>
      </c>
      <c r="F118" s="114"/>
      <c r="G118" s="115"/>
      <c r="H118" s="244" t="s">
        <v>683</v>
      </c>
      <c r="I118" s="115">
        <v>2030</v>
      </c>
      <c r="J118" s="115"/>
      <c r="K118" s="115">
        <f>CCS!V$52</f>
        <v>0.20833333333333334</v>
      </c>
      <c r="L118" s="115"/>
      <c r="N118" s="115"/>
      <c r="O118" s="115"/>
      <c r="P118" s="115"/>
      <c r="Q118" s="98"/>
      <c r="R118" s="98"/>
      <c r="S118" s="98"/>
      <c r="T118" s="115"/>
      <c r="U118" s="115"/>
      <c r="V118" s="115"/>
      <c r="W118" s="115"/>
      <c r="X118" s="115"/>
      <c r="Y118" s="115"/>
      <c r="Z118" s="115"/>
      <c r="AB118" s="115"/>
      <c r="AC118" s="115"/>
      <c r="AD118" s="115"/>
      <c r="AE118" s="115"/>
    </row>
    <row r="119" spans="2:31" s="94" customFormat="1" ht="30.6" customHeight="1">
      <c r="B119" s="2"/>
      <c r="C119" s="1"/>
      <c r="D119" s="1"/>
      <c r="E119" s="114"/>
      <c r="F119" s="1"/>
      <c r="G119" s="115"/>
      <c r="H119" s="244" t="s">
        <v>683</v>
      </c>
      <c r="I119" s="115">
        <v>2050</v>
      </c>
      <c r="J119" s="115"/>
      <c r="K119" s="115"/>
      <c r="L119" s="115">
        <v>1.05</v>
      </c>
      <c r="N119" s="115"/>
      <c r="O119" s="115"/>
      <c r="P119" s="115"/>
      <c r="Q119" s="98">
        <f>AB119+CCS!P$54/1000*7.45</f>
        <v>7.4499999999999993</v>
      </c>
      <c r="R119" s="98">
        <f>Q119*CCS!G$59/100</f>
        <v>0.18625</v>
      </c>
      <c r="S119" s="98">
        <f>AD119+CCS!$P$60/3.6*7.45</f>
        <v>6.2083333333333339</v>
      </c>
      <c r="T119" s="115"/>
      <c r="U119" s="115"/>
      <c r="V119" s="115"/>
      <c r="W119" s="115"/>
      <c r="X119" s="115"/>
      <c r="Y119" s="95"/>
      <c r="Z119" s="95"/>
      <c r="AB119" s="115">
        <v>0.37250000000000005</v>
      </c>
      <c r="AC119" s="115">
        <v>1.2664999999999999E-2</v>
      </c>
      <c r="AD119" s="115">
        <v>2.276388888888889</v>
      </c>
      <c r="AE119" s="115"/>
    </row>
    <row r="120" spans="2:31" s="94" customFormat="1" ht="30.6" customHeight="1">
      <c r="C120" s="114"/>
      <c r="D120" s="114"/>
      <c r="E120" s="115" t="s">
        <v>17</v>
      </c>
      <c r="F120" s="114"/>
      <c r="G120" s="115"/>
      <c r="H120" s="244" t="s">
        <v>683</v>
      </c>
      <c r="I120" s="115">
        <v>2050</v>
      </c>
      <c r="J120" s="115"/>
      <c r="K120" s="115">
        <f>CCS!W$52</f>
        <v>0.20833333333333334</v>
      </c>
      <c r="L120" s="115"/>
      <c r="N120" s="115"/>
      <c r="O120" s="115"/>
      <c r="P120" s="115"/>
      <c r="Q120" s="98"/>
      <c r="R120" s="98"/>
      <c r="S120" s="98"/>
      <c r="T120" s="115"/>
      <c r="U120" s="115"/>
      <c r="V120" s="115"/>
      <c r="W120" s="115"/>
      <c r="X120" s="115"/>
      <c r="Y120" s="115"/>
      <c r="Z120" s="115"/>
      <c r="AB120" s="115"/>
      <c r="AC120" s="115"/>
      <c r="AD120" s="115"/>
      <c r="AE120" s="115"/>
    </row>
    <row r="121" spans="2:31" s="94" customFormat="1" ht="30.6" customHeight="1">
      <c r="B121" s="115" t="s">
        <v>217</v>
      </c>
      <c r="C121" s="115" t="s">
        <v>218</v>
      </c>
      <c r="D121" s="115" t="s">
        <v>183</v>
      </c>
      <c r="E121" s="114"/>
      <c r="F121" s="115" t="s">
        <v>899</v>
      </c>
      <c r="G121" s="116"/>
      <c r="H121" s="244" t="s">
        <v>683</v>
      </c>
      <c r="I121" s="115">
        <v>2013</v>
      </c>
      <c r="J121" s="114">
        <v>2030</v>
      </c>
      <c r="L121" s="115">
        <v>1.173</v>
      </c>
      <c r="M121" s="115"/>
      <c r="N121" s="115"/>
      <c r="O121" s="115"/>
      <c r="P121" s="115"/>
      <c r="Q121" s="98">
        <f>AB121+CCS!L$114/1000*7.45</f>
        <v>18.625</v>
      </c>
      <c r="R121" s="98">
        <f>Q121*CCS!C$119/100</f>
        <v>0.46562500000000001</v>
      </c>
      <c r="S121" s="98">
        <f>AD121+CCS!$L$120/3.6*7.45</f>
        <v>1.0347222222222221</v>
      </c>
      <c r="T121" s="97">
        <v>3.1536000000000002E-2</v>
      </c>
      <c r="U121" s="97">
        <v>0.9</v>
      </c>
      <c r="V121" s="97">
        <v>1</v>
      </c>
      <c r="W121" s="115">
        <v>20</v>
      </c>
      <c r="X121" s="115">
        <v>1</v>
      </c>
      <c r="Y121" s="95"/>
      <c r="Z121" s="95"/>
      <c r="AB121" s="115">
        <v>8.1950000000000003</v>
      </c>
      <c r="AC121" s="115">
        <v>0.25330000000000003</v>
      </c>
      <c r="AD121" s="115">
        <v>2.276388888888889</v>
      </c>
      <c r="AE121" s="115"/>
    </row>
    <row r="122" spans="2:31" s="94" customFormat="1" ht="30.6" customHeight="1">
      <c r="E122" s="115" t="s">
        <v>17</v>
      </c>
      <c r="G122" s="116"/>
      <c r="H122" s="244" t="s">
        <v>683</v>
      </c>
      <c r="I122" s="115">
        <v>2013</v>
      </c>
      <c r="J122" s="114"/>
      <c r="K122" s="115">
        <f>CCS!$S$112</f>
        <v>0.2</v>
      </c>
      <c r="L122" s="115"/>
      <c r="M122" s="115"/>
      <c r="N122" s="115"/>
      <c r="O122" s="115"/>
      <c r="P122" s="115"/>
      <c r="Q122" s="114"/>
      <c r="R122" s="114"/>
      <c r="S122" s="114"/>
      <c r="T122" s="97"/>
      <c r="U122" s="97"/>
      <c r="V122" s="97"/>
      <c r="W122" s="115"/>
      <c r="X122" s="115"/>
      <c r="Y122" s="115"/>
      <c r="Z122" s="115"/>
      <c r="AB122" s="115"/>
      <c r="AC122" s="115"/>
      <c r="AD122" s="115"/>
      <c r="AE122" s="115"/>
    </row>
    <row r="123" spans="2:31" s="94" customFormat="1" ht="30.6" customHeight="1">
      <c r="D123" s="115"/>
      <c r="F123" s="115"/>
      <c r="G123" s="114" t="s">
        <v>879</v>
      </c>
      <c r="H123" s="244" t="s">
        <v>683</v>
      </c>
      <c r="I123" s="114">
        <v>2013</v>
      </c>
      <c r="J123" s="115"/>
      <c r="L123" s="115"/>
      <c r="M123" s="114">
        <f>Emis!C11*CCS!$C$112/100/L121</f>
        <v>72.583120204603574</v>
      </c>
      <c r="N123" s="115"/>
      <c r="O123" s="115"/>
      <c r="P123" s="115"/>
      <c r="Q123" s="114"/>
      <c r="R123" s="114"/>
      <c r="S123" s="114"/>
      <c r="T123" s="115"/>
      <c r="U123" s="115"/>
      <c r="V123" s="115"/>
      <c r="W123" s="115"/>
      <c r="X123" s="115"/>
      <c r="Y123" s="115"/>
      <c r="Z123" s="115"/>
      <c r="AB123" s="115"/>
      <c r="AC123" s="115"/>
      <c r="AD123" s="115"/>
      <c r="AE123" s="115"/>
    </row>
    <row r="124" spans="2:31" s="94" customFormat="1" ht="30.6" customHeight="1">
      <c r="D124" s="115"/>
      <c r="E124" s="114"/>
      <c r="F124" s="115"/>
      <c r="G124" s="116"/>
      <c r="H124" s="244" t="s">
        <v>683</v>
      </c>
      <c r="I124" s="115">
        <v>2020</v>
      </c>
      <c r="J124" s="115"/>
      <c r="K124" s="115"/>
      <c r="L124" s="115">
        <v>1.173</v>
      </c>
      <c r="N124" s="115"/>
      <c r="O124" s="115"/>
      <c r="P124" s="115"/>
      <c r="Q124" s="98">
        <f>AB124+CCS!M$114/1000*7.45</f>
        <v>15.645</v>
      </c>
      <c r="R124" s="98">
        <f>Q124*CCS!D$119/100</f>
        <v>0.39112499999999994</v>
      </c>
      <c r="S124" s="98">
        <f>AD124+CCS!$M$120/3.6*7.45</f>
        <v>1.0347222222222221</v>
      </c>
      <c r="T124" s="115"/>
      <c r="U124" s="115"/>
      <c r="V124" s="115"/>
      <c r="W124" s="115"/>
      <c r="X124" s="115"/>
      <c r="Y124" s="115"/>
      <c r="Z124" s="115"/>
      <c r="AB124" s="115">
        <v>7.45</v>
      </c>
      <c r="AC124" s="115">
        <v>0.24585000000000001</v>
      </c>
      <c r="AD124" s="115">
        <v>2.276388888888889</v>
      </c>
      <c r="AE124" s="115"/>
    </row>
    <row r="125" spans="2:31" s="94" customFormat="1" ht="30.6" customHeight="1">
      <c r="D125" s="115"/>
      <c r="E125" s="115" t="s">
        <v>17</v>
      </c>
      <c r="F125" s="115"/>
      <c r="G125" s="116"/>
      <c r="H125" s="244" t="s">
        <v>683</v>
      </c>
      <c r="I125" s="115">
        <v>2020</v>
      </c>
      <c r="J125" s="115"/>
      <c r="K125" s="115">
        <f>CCS!T$112</f>
        <v>0.19565217391304349</v>
      </c>
      <c r="L125" s="115"/>
      <c r="N125" s="115"/>
      <c r="O125" s="115"/>
      <c r="P125" s="115"/>
      <c r="Q125" s="98"/>
      <c r="R125" s="98"/>
      <c r="S125" s="98"/>
      <c r="T125" s="115"/>
      <c r="U125" s="115"/>
      <c r="V125" s="115"/>
      <c r="W125" s="115"/>
      <c r="X125" s="115"/>
      <c r="Y125" s="115"/>
      <c r="Z125" s="115"/>
      <c r="AB125" s="115"/>
      <c r="AC125" s="115"/>
      <c r="AD125" s="115"/>
      <c r="AE125" s="115"/>
    </row>
    <row r="126" spans="2:31" s="94" customFormat="1" ht="30.6" customHeight="1">
      <c r="D126" s="115"/>
      <c r="E126" s="114"/>
      <c r="F126" s="115"/>
      <c r="G126" s="115"/>
      <c r="H126" s="244" t="s">
        <v>683</v>
      </c>
      <c r="I126" s="115">
        <v>2030</v>
      </c>
      <c r="J126" s="115"/>
      <c r="K126" s="115"/>
      <c r="L126" s="115">
        <v>1.173</v>
      </c>
      <c r="N126" s="115"/>
      <c r="O126" s="115"/>
      <c r="P126" s="115"/>
      <c r="Q126" s="98">
        <f>AB126+CCS!N$114/1000*7.45</f>
        <v>14.5275</v>
      </c>
      <c r="R126" s="98">
        <f>Q126*CCS!E$119/100</f>
        <v>0.3631875</v>
      </c>
      <c r="S126" s="98">
        <f>AD126+CCS!$N$120/3.6*7.45</f>
        <v>1.0347222222222221</v>
      </c>
      <c r="T126" s="115"/>
      <c r="U126" s="115"/>
      <c r="V126" s="115"/>
      <c r="W126" s="115"/>
      <c r="X126" s="115"/>
      <c r="Y126" s="115"/>
      <c r="Z126" s="115"/>
      <c r="AB126" s="115">
        <v>7.45</v>
      </c>
      <c r="AC126" s="115">
        <v>0.2384</v>
      </c>
      <c r="AD126" s="115">
        <v>2.276388888888889</v>
      </c>
      <c r="AE126" s="115"/>
    </row>
    <row r="127" spans="2:31" s="94" customFormat="1" ht="30.6" customHeight="1">
      <c r="D127" s="115"/>
      <c r="E127" s="115" t="s">
        <v>17</v>
      </c>
      <c r="F127" s="115"/>
      <c r="G127" s="115"/>
      <c r="H127" s="244" t="s">
        <v>683</v>
      </c>
      <c r="I127" s="115">
        <v>2030</v>
      </c>
      <c r="J127" s="115"/>
      <c r="K127" s="115">
        <f>CCS!V$112</f>
        <v>0.1875</v>
      </c>
      <c r="L127" s="115"/>
      <c r="N127" s="115"/>
      <c r="O127" s="115"/>
      <c r="P127" s="115"/>
      <c r="Q127" s="98"/>
      <c r="R127" s="98"/>
      <c r="S127" s="98"/>
      <c r="T127" s="115"/>
      <c r="U127" s="115"/>
      <c r="V127" s="115"/>
      <c r="W127" s="115"/>
      <c r="X127" s="115"/>
      <c r="Y127" s="115"/>
      <c r="Z127" s="115"/>
      <c r="AB127" s="115"/>
      <c r="AC127" s="115"/>
      <c r="AD127" s="115"/>
      <c r="AE127" s="115"/>
    </row>
    <row r="128" spans="2:31" s="94" customFormat="1" ht="30.6" customHeight="1">
      <c r="D128" s="115"/>
      <c r="E128" s="114"/>
      <c r="F128" s="115"/>
      <c r="G128" s="115"/>
      <c r="H128" s="244" t="s">
        <v>683</v>
      </c>
      <c r="I128" s="115">
        <v>2050</v>
      </c>
      <c r="J128" s="115"/>
      <c r="K128" s="115"/>
      <c r="L128" s="115">
        <v>1.173</v>
      </c>
      <c r="N128" s="115"/>
      <c r="O128" s="115"/>
      <c r="P128" s="115"/>
      <c r="Q128" s="98">
        <f>AB128+CCS!P$114/1000*7.45</f>
        <v>13.782499999999999</v>
      </c>
      <c r="R128" s="98">
        <f>Q128*CCS!G$119/100</f>
        <v>0.34456249999999999</v>
      </c>
      <c r="S128" s="98">
        <f>AD128+CCS!$P$120/3.6*7.45</f>
        <v>1.0347222222222221</v>
      </c>
      <c r="T128" s="115"/>
      <c r="U128" s="115"/>
      <c r="V128" s="115"/>
      <c r="W128" s="115"/>
      <c r="X128" s="115"/>
      <c r="Y128" s="115"/>
      <c r="Z128" s="115"/>
      <c r="AB128" s="115">
        <v>6.7050000000000001</v>
      </c>
      <c r="AC128" s="115">
        <v>0.2235</v>
      </c>
      <c r="AD128" s="115">
        <v>2.276388888888889</v>
      </c>
      <c r="AE128" s="115"/>
    </row>
    <row r="129" spans="2:31" s="94" customFormat="1" ht="30.6" customHeight="1">
      <c r="D129" s="115"/>
      <c r="E129" s="115" t="s">
        <v>17</v>
      </c>
      <c r="F129" s="115"/>
      <c r="G129" s="115"/>
      <c r="H129" s="244" t="s">
        <v>683</v>
      </c>
      <c r="I129" s="115">
        <v>2050</v>
      </c>
      <c r="J129" s="115"/>
      <c r="K129" s="115">
        <f>CCS!W$112</f>
        <v>0.1875</v>
      </c>
      <c r="L129" s="115"/>
      <c r="N129" s="115"/>
      <c r="O129" s="115"/>
      <c r="P129" s="115"/>
      <c r="Q129" s="98"/>
      <c r="R129" s="98"/>
      <c r="S129" s="98"/>
      <c r="T129" s="115"/>
      <c r="U129" s="115"/>
      <c r="V129" s="115"/>
      <c r="W129" s="115"/>
      <c r="X129" s="115"/>
      <c r="Y129" s="115"/>
      <c r="Z129" s="115"/>
      <c r="AB129" s="115"/>
      <c r="AC129" s="115"/>
      <c r="AD129" s="115"/>
      <c r="AE129" s="115"/>
    </row>
    <row r="130" spans="2:31" s="94" customFormat="1" ht="30.6" customHeight="1">
      <c r="B130" s="115" t="s">
        <v>219</v>
      </c>
      <c r="C130" s="115" t="s">
        <v>220</v>
      </c>
      <c r="D130" s="115" t="s">
        <v>23</v>
      </c>
      <c r="E130" s="115"/>
      <c r="F130" s="94" t="s">
        <v>899</v>
      </c>
      <c r="G130" s="116"/>
      <c r="H130" s="244" t="s">
        <v>683</v>
      </c>
      <c r="I130" s="115">
        <v>2013</v>
      </c>
      <c r="J130" s="114">
        <v>2030</v>
      </c>
      <c r="L130" s="115">
        <v>1.044</v>
      </c>
      <c r="M130" s="115"/>
      <c r="N130" s="115"/>
      <c r="O130" s="115"/>
      <c r="P130" s="115"/>
      <c r="Q130" s="98">
        <f>AB130+CCS!L$114/1000*7.45</f>
        <v>15.645</v>
      </c>
      <c r="R130" s="98">
        <f>Q130*CCS!C$119/100</f>
        <v>0.39112499999999994</v>
      </c>
      <c r="S130" s="98">
        <f>AD130+CCS!$L$120/3.6*7.45</f>
        <v>0.82777777777777772</v>
      </c>
      <c r="T130" s="97">
        <v>3.1536000000000002E-2</v>
      </c>
      <c r="U130" s="97">
        <v>0.9</v>
      </c>
      <c r="V130" s="97">
        <v>1</v>
      </c>
      <c r="W130" s="115">
        <v>25</v>
      </c>
      <c r="X130" s="115">
        <v>1</v>
      </c>
      <c r="Y130" s="115"/>
      <c r="Z130" s="115"/>
      <c r="AB130" s="115">
        <v>5.2149999999999999</v>
      </c>
      <c r="AC130" s="115">
        <v>0.29799999999999999</v>
      </c>
      <c r="AD130" s="115">
        <v>2.0694444444444446</v>
      </c>
      <c r="AE130" s="115"/>
    </row>
    <row r="131" spans="2:31" s="94" customFormat="1" ht="30.6" customHeight="1">
      <c r="E131" s="115" t="s">
        <v>17</v>
      </c>
      <c r="G131" s="116"/>
      <c r="H131" s="244" t="s">
        <v>683</v>
      </c>
      <c r="I131" s="115">
        <v>2013</v>
      </c>
      <c r="J131" s="114"/>
      <c r="K131" s="115">
        <f>CCS!$S$112</f>
        <v>0.2</v>
      </c>
      <c r="L131" s="115"/>
      <c r="M131" s="115"/>
      <c r="N131" s="115"/>
      <c r="O131" s="115"/>
      <c r="P131" s="115"/>
      <c r="Q131" s="114"/>
      <c r="R131" s="114"/>
      <c r="S131" s="114"/>
      <c r="T131" s="97"/>
      <c r="U131" s="97"/>
      <c r="V131" s="97"/>
      <c r="W131" s="115"/>
      <c r="X131" s="115"/>
      <c r="Y131" s="115"/>
      <c r="Z131" s="115"/>
      <c r="AB131" s="115"/>
      <c r="AC131" s="115"/>
      <c r="AD131" s="115"/>
      <c r="AE131" s="115"/>
    </row>
    <row r="132" spans="2:31" s="94" customFormat="1" ht="30.6" customHeight="1">
      <c r="G132" s="114" t="s">
        <v>879</v>
      </c>
      <c r="H132" s="244" t="s">
        <v>683</v>
      </c>
      <c r="I132" s="114">
        <v>2013</v>
      </c>
      <c r="J132" s="115"/>
      <c r="L132" s="115"/>
      <c r="M132" s="114">
        <f>Emis!C11*CCS!$C$112/100/L130</f>
        <v>81.551724137931032</v>
      </c>
      <c r="N132" s="115"/>
      <c r="O132" s="115"/>
      <c r="P132" s="115"/>
      <c r="Q132" s="114"/>
      <c r="R132" s="114"/>
      <c r="S132" s="114"/>
      <c r="T132" s="115"/>
      <c r="U132" s="115"/>
      <c r="V132" s="115"/>
      <c r="W132" s="115"/>
      <c r="X132" s="115"/>
      <c r="Y132" s="95"/>
      <c r="Z132" s="95"/>
      <c r="AB132" s="115"/>
      <c r="AC132" s="115"/>
      <c r="AD132" s="115"/>
      <c r="AE132" s="115"/>
    </row>
    <row r="133" spans="2:31" s="94" customFormat="1" ht="30.6" customHeight="1">
      <c r="E133" s="114"/>
      <c r="G133" s="116"/>
      <c r="H133" s="244" t="s">
        <v>683</v>
      </c>
      <c r="I133" s="115">
        <v>2020</v>
      </c>
      <c r="J133" s="115"/>
      <c r="K133" s="115"/>
      <c r="L133" s="115">
        <v>1.08</v>
      </c>
      <c r="N133" s="115"/>
      <c r="O133" s="115"/>
      <c r="P133" s="115"/>
      <c r="Q133" s="98">
        <f>AB133+CCS!M$114/1000*7.45</f>
        <v>13.41</v>
      </c>
      <c r="R133" s="98">
        <f>Q133*CCS!D$119/100</f>
        <v>0.33524999999999999</v>
      </c>
      <c r="S133" s="98">
        <f>AD133+CCS!$M$120/3.6*7.45</f>
        <v>0.82777777777777772</v>
      </c>
      <c r="T133" s="115"/>
      <c r="U133" s="115"/>
      <c r="V133" s="115"/>
      <c r="W133" s="115"/>
      <c r="X133" s="115"/>
      <c r="Y133" s="115"/>
      <c r="Z133" s="115"/>
      <c r="AB133" s="115">
        <v>5.2149999999999999</v>
      </c>
      <c r="AC133" s="115">
        <v>0.29054999999999997</v>
      </c>
      <c r="AD133" s="115">
        <v>2.0694444444444446</v>
      </c>
      <c r="AE133" s="115"/>
    </row>
    <row r="134" spans="2:31" s="94" customFormat="1" ht="30.6" customHeight="1">
      <c r="E134" s="115" t="s">
        <v>17</v>
      </c>
      <c r="G134" s="116"/>
      <c r="H134" s="244" t="s">
        <v>683</v>
      </c>
      <c r="I134" s="115">
        <v>2020</v>
      </c>
      <c r="J134" s="115"/>
      <c r="K134" s="115">
        <f>CCS!T$112</f>
        <v>0.19565217391304349</v>
      </c>
      <c r="L134" s="115"/>
      <c r="N134" s="115"/>
      <c r="O134" s="115"/>
      <c r="P134" s="115"/>
      <c r="Q134" s="98"/>
      <c r="R134" s="98"/>
      <c r="S134" s="98"/>
      <c r="T134" s="115"/>
      <c r="U134" s="115"/>
      <c r="V134" s="115"/>
      <c r="W134" s="115"/>
      <c r="X134" s="115"/>
      <c r="Y134" s="115"/>
      <c r="Z134" s="115"/>
      <c r="AB134" s="115"/>
      <c r="AC134" s="115"/>
      <c r="AD134" s="115"/>
      <c r="AE134" s="115"/>
    </row>
    <row r="135" spans="2:31" s="94" customFormat="1" ht="30.6" customHeight="1">
      <c r="B135" s="114"/>
      <c r="C135" s="114"/>
      <c r="E135" s="114"/>
      <c r="G135" s="115"/>
      <c r="H135" s="244" t="s">
        <v>683</v>
      </c>
      <c r="I135" s="115">
        <v>2030</v>
      </c>
      <c r="J135" s="115"/>
      <c r="K135" s="115"/>
      <c r="L135" s="115">
        <v>1.08</v>
      </c>
      <c r="N135" s="115"/>
      <c r="O135" s="115"/>
      <c r="P135" s="115"/>
      <c r="Q135" s="98">
        <f>AB135+CCS!N$114/1000*7.45</f>
        <v>11.547499999999999</v>
      </c>
      <c r="R135" s="98">
        <f>Q135*CCS!E$119/100</f>
        <v>0.28868749999999999</v>
      </c>
      <c r="S135" s="98">
        <f>AD135+CCS!$N$120/3.6*7.45</f>
        <v>0.82777777777777772</v>
      </c>
      <c r="T135" s="115"/>
      <c r="U135" s="115"/>
      <c r="V135" s="115"/>
      <c r="W135" s="115"/>
      <c r="X135" s="115"/>
      <c r="AB135" s="115">
        <v>4.47</v>
      </c>
      <c r="AC135" s="115">
        <v>0.26819999999999999</v>
      </c>
      <c r="AD135" s="115">
        <v>2.0694444444444446</v>
      </c>
      <c r="AE135" s="115"/>
    </row>
    <row r="136" spans="2:31" s="94" customFormat="1" ht="30.6" customHeight="1">
      <c r="B136" s="114"/>
      <c r="C136" s="114"/>
      <c r="E136" s="115" t="s">
        <v>17</v>
      </c>
      <c r="G136" s="115"/>
      <c r="H136" s="244" t="s">
        <v>683</v>
      </c>
      <c r="I136" s="115">
        <v>2030</v>
      </c>
      <c r="J136" s="115"/>
      <c r="K136" s="115">
        <f>CCS!V$112</f>
        <v>0.1875</v>
      </c>
      <c r="L136" s="115"/>
      <c r="N136" s="115"/>
      <c r="O136" s="115"/>
      <c r="P136" s="115"/>
      <c r="Q136" s="98"/>
      <c r="R136" s="98"/>
      <c r="S136" s="98"/>
      <c r="T136" s="115"/>
      <c r="U136" s="115"/>
      <c r="V136" s="115"/>
      <c r="W136" s="115"/>
      <c r="X136" s="115"/>
      <c r="AB136" s="115"/>
      <c r="AC136" s="115"/>
      <c r="AD136" s="115"/>
      <c r="AE136" s="115"/>
    </row>
    <row r="137" spans="2:31" s="94" customFormat="1" ht="30.6" customHeight="1">
      <c r="E137" s="114"/>
      <c r="G137" s="115"/>
      <c r="H137" s="244" t="s">
        <v>683</v>
      </c>
      <c r="I137" s="115">
        <v>2050</v>
      </c>
      <c r="J137" s="115"/>
      <c r="K137" s="115"/>
      <c r="L137" s="115">
        <v>1.024</v>
      </c>
      <c r="N137" s="115"/>
      <c r="O137" s="115"/>
      <c r="P137" s="115"/>
      <c r="Q137" s="98">
        <f>AB137+CCS!P$114/1000*7.45</f>
        <v>11.547499999999999</v>
      </c>
      <c r="R137" s="98">
        <f>Q137*CCS!G$119/100</f>
        <v>0.28868749999999999</v>
      </c>
      <c r="S137" s="98">
        <f>AD137+CCS!$P$120/3.6*7.45</f>
        <v>0.82777777777777772</v>
      </c>
      <c r="T137" s="115"/>
      <c r="U137" s="115"/>
      <c r="V137" s="115"/>
      <c r="W137" s="115"/>
      <c r="X137" s="115"/>
      <c r="AB137" s="115">
        <v>4.47</v>
      </c>
      <c r="AC137" s="115">
        <v>0.2384</v>
      </c>
      <c r="AD137" s="115">
        <v>2.0694444444444446</v>
      </c>
      <c r="AE137" s="115"/>
    </row>
    <row r="138" spans="2:31" s="94" customFormat="1" ht="30.6" customHeight="1">
      <c r="E138" s="115" t="s">
        <v>17</v>
      </c>
      <c r="G138" s="115"/>
      <c r="H138" s="244" t="s">
        <v>683</v>
      </c>
      <c r="I138" s="115">
        <v>2050</v>
      </c>
      <c r="J138" s="115"/>
      <c r="K138" s="115">
        <f>CCS!W$112</f>
        <v>0.1875</v>
      </c>
      <c r="L138" s="115"/>
      <c r="N138" s="115"/>
      <c r="O138" s="115"/>
      <c r="P138" s="115"/>
      <c r="Q138" s="98"/>
      <c r="R138" s="98"/>
      <c r="S138" s="98"/>
      <c r="T138" s="115"/>
      <c r="U138" s="115"/>
      <c r="V138" s="115"/>
      <c r="W138" s="115"/>
      <c r="X138" s="115"/>
      <c r="AB138" s="115"/>
      <c r="AC138" s="115"/>
      <c r="AD138" s="115"/>
      <c r="AE138" s="115"/>
    </row>
    <row r="139" spans="2:31" s="94" customFormat="1" ht="30.6" customHeight="1">
      <c r="B139" s="115" t="s">
        <v>221</v>
      </c>
      <c r="C139" s="115" t="s">
        <v>222</v>
      </c>
      <c r="D139" s="94" t="s">
        <v>182</v>
      </c>
      <c r="F139" s="94" t="s">
        <v>899</v>
      </c>
      <c r="G139" s="116"/>
      <c r="H139" s="244" t="s">
        <v>683</v>
      </c>
      <c r="I139" s="115">
        <v>2013</v>
      </c>
      <c r="J139" s="114">
        <v>2030</v>
      </c>
      <c r="L139" s="115">
        <v>1.024</v>
      </c>
      <c r="M139" s="115"/>
      <c r="N139" s="115"/>
      <c r="O139" s="115"/>
      <c r="P139" s="115"/>
      <c r="Q139" s="98">
        <f>AB139+CCS!L$114/1000*7.45</f>
        <v>17.88</v>
      </c>
      <c r="R139" s="98">
        <f>Q139*CCS!C$119/100</f>
        <v>0.44699999999999995</v>
      </c>
      <c r="S139" s="98">
        <f>AD139+CCS!$L$120/3.6*7.45</f>
        <v>0.82777777777777772</v>
      </c>
      <c r="T139" s="97">
        <v>3.1536000000000002E-2</v>
      </c>
      <c r="U139" s="97">
        <v>0.9</v>
      </c>
      <c r="V139" s="97">
        <v>1</v>
      </c>
      <c r="W139" s="115">
        <v>25</v>
      </c>
      <c r="X139" s="115">
        <v>1</v>
      </c>
      <c r="AB139" s="115">
        <v>7.45</v>
      </c>
      <c r="AC139" s="115">
        <v>0.25330000000000003</v>
      </c>
      <c r="AD139" s="115">
        <v>2.0694444444444446</v>
      </c>
      <c r="AE139" s="115"/>
    </row>
    <row r="140" spans="2:31" ht="30.6" customHeight="1">
      <c r="B140" s="94"/>
      <c r="C140" s="94"/>
      <c r="E140" s="115" t="s">
        <v>17</v>
      </c>
      <c r="G140" s="116"/>
      <c r="H140" s="244" t="s">
        <v>683</v>
      </c>
      <c r="I140" s="115">
        <v>2013</v>
      </c>
      <c r="J140" s="114"/>
      <c r="K140" s="115">
        <f>CCS!$S$112</f>
        <v>0.2</v>
      </c>
      <c r="L140" s="115"/>
      <c r="M140" s="115"/>
      <c r="N140" s="115"/>
      <c r="O140" s="115"/>
      <c r="P140" s="115"/>
      <c r="Q140" s="114"/>
      <c r="R140" s="114"/>
      <c r="S140" s="114"/>
      <c r="T140" s="97"/>
      <c r="U140" s="97"/>
      <c r="V140" s="97"/>
      <c r="W140" s="115"/>
      <c r="X140" s="115"/>
      <c r="AB140" s="115"/>
      <c r="AC140" s="115"/>
      <c r="AD140" s="115"/>
      <c r="AE140" s="115"/>
    </row>
    <row r="141" spans="2:31" s="94" customFormat="1" ht="30.6" customHeight="1">
      <c r="D141" s="114"/>
      <c r="G141" s="114" t="s">
        <v>879</v>
      </c>
      <c r="H141" s="244" t="s">
        <v>683</v>
      </c>
      <c r="I141" s="114">
        <v>2013</v>
      </c>
      <c r="J141" s="115"/>
      <c r="L141" s="115"/>
      <c r="M141" s="114">
        <f>Emis!C11*CCS!$C$112/100/L139</f>
        <v>83.14453125</v>
      </c>
      <c r="N141" s="115"/>
      <c r="O141" s="115"/>
      <c r="P141" s="115"/>
      <c r="Q141" s="114"/>
      <c r="R141" s="114"/>
      <c r="S141" s="114"/>
      <c r="T141" s="115"/>
      <c r="U141" s="115"/>
      <c r="V141" s="115"/>
      <c r="W141" s="115"/>
      <c r="X141" s="115"/>
      <c r="AB141" s="115"/>
      <c r="AC141" s="115"/>
      <c r="AD141" s="115"/>
      <c r="AE141" s="115"/>
    </row>
    <row r="142" spans="2:31" s="94" customFormat="1" ht="30.6" customHeight="1">
      <c r="B142" s="114"/>
      <c r="C142" s="114"/>
      <c r="D142" s="114"/>
      <c r="E142" s="114"/>
      <c r="F142" s="114"/>
      <c r="G142" s="116"/>
      <c r="H142" s="244" t="s">
        <v>683</v>
      </c>
      <c r="I142" s="115">
        <v>2020</v>
      </c>
      <c r="J142" s="115"/>
      <c r="K142" s="115"/>
      <c r="L142" s="115">
        <v>1.024</v>
      </c>
      <c r="N142" s="115"/>
      <c r="O142" s="115"/>
      <c r="P142" s="115"/>
      <c r="Q142" s="98">
        <f>AB142+CCS!M$114/1000*7.45</f>
        <v>15.645</v>
      </c>
      <c r="R142" s="98">
        <f>Q142*CCS!D$119/100</f>
        <v>0.39112499999999994</v>
      </c>
      <c r="S142" s="98">
        <f>AD142+CCS!$M$120/3.6*7.45</f>
        <v>0.82777777777777772</v>
      </c>
      <c r="T142" s="115"/>
      <c r="U142" s="115"/>
      <c r="V142" s="115"/>
      <c r="W142" s="115"/>
      <c r="X142" s="115"/>
      <c r="AB142" s="115">
        <v>7.45</v>
      </c>
      <c r="AC142" s="115">
        <v>0.24585000000000001</v>
      </c>
      <c r="AD142" s="115">
        <v>2.0694444444444446</v>
      </c>
      <c r="AE142" s="115"/>
    </row>
    <row r="143" spans="2:31" s="94" customFormat="1" ht="30.6" customHeight="1">
      <c r="B143" s="114"/>
      <c r="C143" s="114"/>
      <c r="D143" s="114"/>
      <c r="E143" s="115" t="s">
        <v>17</v>
      </c>
      <c r="F143" s="114"/>
      <c r="G143" s="116"/>
      <c r="H143" s="244" t="s">
        <v>683</v>
      </c>
      <c r="I143" s="115">
        <v>2020</v>
      </c>
      <c r="J143" s="115"/>
      <c r="K143" s="115">
        <f>CCS!T$112</f>
        <v>0.19565217391304349</v>
      </c>
      <c r="L143" s="115"/>
      <c r="N143" s="115"/>
      <c r="O143" s="115"/>
      <c r="P143" s="115"/>
      <c r="Q143" s="98"/>
      <c r="R143" s="98"/>
      <c r="S143" s="98"/>
      <c r="T143" s="115"/>
      <c r="U143" s="115"/>
      <c r="V143" s="115"/>
      <c r="W143" s="115"/>
      <c r="X143" s="115"/>
      <c r="AB143" s="115"/>
      <c r="AC143" s="115"/>
      <c r="AD143" s="115"/>
      <c r="AE143" s="115"/>
    </row>
    <row r="144" spans="2:31" s="94" customFormat="1" ht="30.6" customHeight="1">
      <c r="B144" s="114"/>
      <c r="C144" s="114"/>
      <c r="D144" s="114"/>
      <c r="E144" s="114"/>
      <c r="F144" s="114"/>
      <c r="G144" s="115"/>
      <c r="H144" s="244" t="s">
        <v>683</v>
      </c>
      <c r="I144" s="115">
        <v>2030</v>
      </c>
      <c r="J144" s="115"/>
      <c r="K144" s="115"/>
      <c r="L144" s="115">
        <v>1.024</v>
      </c>
      <c r="N144" s="115"/>
      <c r="O144" s="115"/>
      <c r="P144" s="115"/>
      <c r="Q144" s="98">
        <f>AB144+CCS!N$114/1000*7.45</f>
        <v>13.782499999999999</v>
      </c>
      <c r="R144" s="98">
        <f>Q144*CCS!E$119/100</f>
        <v>0.34456249999999999</v>
      </c>
      <c r="S144" s="98">
        <f>AD144+CCS!$N$120/3.6*7.45</f>
        <v>0.82777777777777772</v>
      </c>
      <c r="T144" s="115"/>
      <c r="U144" s="115"/>
      <c r="V144" s="115"/>
      <c r="W144" s="115"/>
      <c r="X144" s="115"/>
      <c r="AB144" s="115">
        <v>6.7050000000000001</v>
      </c>
      <c r="AC144" s="115">
        <v>0.23094999999999999</v>
      </c>
      <c r="AD144" s="115">
        <v>2.0694444444444446</v>
      </c>
      <c r="AE144" s="115"/>
    </row>
    <row r="145" spans="2:31" s="94" customFormat="1" ht="30.6" customHeight="1">
      <c r="B145" s="114"/>
      <c r="C145" s="114"/>
      <c r="D145" s="114"/>
      <c r="E145" s="115" t="s">
        <v>17</v>
      </c>
      <c r="F145" s="114"/>
      <c r="G145" s="115"/>
      <c r="H145" s="244" t="s">
        <v>683</v>
      </c>
      <c r="I145" s="115">
        <v>2030</v>
      </c>
      <c r="J145" s="115"/>
      <c r="K145" s="115">
        <f>CCS!V$112</f>
        <v>0.1875</v>
      </c>
      <c r="L145" s="115"/>
      <c r="N145" s="115"/>
      <c r="O145" s="115"/>
      <c r="P145" s="115"/>
      <c r="Q145" s="98"/>
      <c r="R145" s="98"/>
      <c r="S145" s="98"/>
      <c r="T145" s="115"/>
      <c r="U145" s="115"/>
      <c r="V145" s="115"/>
      <c r="W145" s="115"/>
      <c r="X145" s="115"/>
      <c r="AB145" s="115"/>
      <c r="AC145" s="115"/>
      <c r="AD145" s="115"/>
      <c r="AE145" s="115"/>
    </row>
    <row r="146" spans="2:31" ht="30.6" customHeight="1">
      <c r="B146" s="114"/>
      <c r="C146" s="114"/>
      <c r="D146" s="114"/>
      <c r="F146" s="114"/>
      <c r="G146" s="115"/>
      <c r="H146" s="244" t="s">
        <v>683</v>
      </c>
      <c r="I146" s="115">
        <v>2050</v>
      </c>
      <c r="J146" s="115"/>
      <c r="K146" s="115"/>
      <c r="L146" s="115">
        <v>1.024</v>
      </c>
      <c r="M146" s="94"/>
      <c r="N146" s="115"/>
      <c r="O146" s="115"/>
      <c r="P146" s="115"/>
      <c r="Q146" s="98">
        <f>AB146+CCS!P$114/1000*7.45</f>
        <v>13.037500000000001</v>
      </c>
      <c r="R146" s="98">
        <f>Q146*CCS!G$119/100</f>
        <v>0.32593749999999999</v>
      </c>
      <c r="S146" s="98">
        <f>AD146+CCS!$P$120/3.6*7.45</f>
        <v>0.82777777777777772</v>
      </c>
      <c r="T146" s="115"/>
      <c r="U146" s="115"/>
      <c r="V146" s="115"/>
      <c r="W146" s="115"/>
      <c r="X146" s="115"/>
      <c r="AB146" s="115">
        <v>5.9600000000000009</v>
      </c>
      <c r="AC146" s="115">
        <v>0.20860000000000001</v>
      </c>
      <c r="AD146" s="115">
        <v>2.0694444444444446</v>
      </c>
      <c r="AE146" s="115"/>
    </row>
    <row r="147" spans="2:31" s="94" customFormat="1" ht="30.6" customHeight="1">
      <c r="B147" s="114"/>
      <c r="C147" s="114"/>
      <c r="D147" s="114"/>
      <c r="E147" s="115" t="s">
        <v>17</v>
      </c>
      <c r="F147" s="114"/>
      <c r="G147" s="115"/>
      <c r="H147" s="244" t="s">
        <v>683</v>
      </c>
      <c r="I147" s="115">
        <v>2050</v>
      </c>
      <c r="J147" s="115"/>
      <c r="K147" s="115">
        <f>CCS!W$112</f>
        <v>0.1875</v>
      </c>
      <c r="L147" s="115"/>
      <c r="N147" s="115"/>
      <c r="O147" s="115"/>
      <c r="P147" s="115"/>
      <c r="Q147" s="98"/>
      <c r="R147" s="98"/>
      <c r="S147" s="98"/>
      <c r="T147" s="115"/>
      <c r="U147" s="115"/>
      <c r="V147" s="115"/>
      <c r="W147" s="115"/>
      <c r="X147" s="115"/>
      <c r="AB147" s="115"/>
      <c r="AC147" s="115"/>
      <c r="AD147" s="115"/>
      <c r="AE147" s="115"/>
    </row>
    <row r="148" spans="2:31" s="94" customFormat="1" ht="30.6" customHeight="1">
      <c r="B148" s="115" t="s">
        <v>223</v>
      </c>
      <c r="C148" s="115" t="s">
        <v>224</v>
      </c>
      <c r="D148" s="115" t="s">
        <v>21</v>
      </c>
      <c r="E148" s="114"/>
      <c r="F148" s="114" t="s">
        <v>899</v>
      </c>
      <c r="G148" s="116"/>
      <c r="H148" s="244" t="s">
        <v>683</v>
      </c>
      <c r="I148" s="115">
        <v>2013</v>
      </c>
      <c r="J148" s="114">
        <v>2030</v>
      </c>
      <c r="L148" s="115">
        <v>1.05</v>
      </c>
      <c r="M148" s="115"/>
      <c r="N148" s="115"/>
      <c r="O148" s="115"/>
      <c r="P148" s="115"/>
      <c r="Q148" s="98">
        <f>AB148+CCS!L$114/1000*7.45</f>
        <v>10.876999999999999</v>
      </c>
      <c r="R148" s="98">
        <f>Q148*CCS!C$119/100</f>
        <v>0.27192499999999997</v>
      </c>
      <c r="S148" s="98">
        <f>AD148+CCS!$L$120/3.6*7.45</f>
        <v>1.0347222222222221</v>
      </c>
      <c r="T148" s="97">
        <v>3.1536000000000002E-2</v>
      </c>
      <c r="U148" s="97">
        <v>0.9</v>
      </c>
      <c r="V148" s="97">
        <v>1</v>
      </c>
      <c r="W148" s="115">
        <v>25</v>
      </c>
      <c r="X148" s="115">
        <v>0.5</v>
      </c>
      <c r="AB148" s="115">
        <v>0.44700000000000001</v>
      </c>
      <c r="AC148" s="115">
        <v>1.49E-2</v>
      </c>
      <c r="AD148" s="115">
        <v>2.276388888888889</v>
      </c>
      <c r="AE148" s="115"/>
    </row>
    <row r="149" spans="2:31" s="94" customFormat="1" ht="30.6" customHeight="1">
      <c r="B149" s="114"/>
      <c r="C149" s="114"/>
      <c r="E149" s="115" t="s">
        <v>17</v>
      </c>
      <c r="G149" s="116"/>
      <c r="H149" s="244" t="s">
        <v>683</v>
      </c>
      <c r="I149" s="115">
        <v>2013</v>
      </c>
      <c r="J149" s="114"/>
      <c r="K149" s="115">
        <f>CCS!$S$112</f>
        <v>0.2</v>
      </c>
      <c r="L149" s="115"/>
      <c r="M149" s="115"/>
      <c r="N149" s="115"/>
      <c r="O149" s="115"/>
      <c r="P149" s="115"/>
      <c r="Q149" s="114"/>
      <c r="R149" s="114"/>
      <c r="S149" s="114"/>
      <c r="T149" s="97"/>
      <c r="U149" s="97"/>
      <c r="V149" s="97"/>
      <c r="W149" s="115"/>
      <c r="X149" s="115"/>
      <c r="AB149" s="115"/>
      <c r="AC149" s="115"/>
      <c r="AD149" s="115"/>
      <c r="AE149" s="115"/>
    </row>
    <row r="150" spans="2:31" s="94" customFormat="1" ht="30.6" customHeight="1">
      <c r="B150" s="114"/>
      <c r="C150" s="114"/>
      <c r="D150" s="114"/>
      <c r="F150" s="114"/>
      <c r="G150" s="114" t="s">
        <v>881</v>
      </c>
      <c r="H150" s="244" t="s">
        <v>683</v>
      </c>
      <c r="I150" s="114">
        <v>2013</v>
      </c>
      <c r="J150" s="115"/>
      <c r="L150" s="115"/>
      <c r="M150" s="114">
        <f>Emis!F11*CCS!$C$112/100/L148</f>
        <v>48.814285714285717</v>
      </c>
      <c r="N150" s="115"/>
      <c r="O150" s="115"/>
      <c r="P150" s="115"/>
      <c r="Q150" s="114"/>
      <c r="R150" s="114"/>
      <c r="S150" s="114"/>
      <c r="T150" s="115"/>
      <c r="U150" s="115"/>
      <c r="V150" s="115"/>
      <c r="W150" s="115"/>
      <c r="X150" s="115"/>
      <c r="AB150" s="115"/>
      <c r="AC150" s="115"/>
      <c r="AD150" s="115"/>
      <c r="AE150" s="115"/>
    </row>
    <row r="151" spans="2:31" s="94" customFormat="1" ht="30.6" customHeight="1">
      <c r="B151" s="114"/>
      <c r="C151" s="114"/>
      <c r="D151" s="114"/>
      <c r="E151" s="114"/>
      <c r="F151" s="1"/>
      <c r="G151" s="116"/>
      <c r="H151" s="244" t="s">
        <v>683</v>
      </c>
      <c r="I151" s="115">
        <v>2020</v>
      </c>
      <c r="J151" s="115"/>
      <c r="K151" s="115"/>
      <c r="L151" s="115">
        <v>1.05</v>
      </c>
      <c r="N151" s="115"/>
      <c r="O151" s="115"/>
      <c r="P151" s="115"/>
      <c r="Q151" s="98">
        <f>AB151+CCS!M$114/1000*7.45</f>
        <v>8.6419999999999995</v>
      </c>
      <c r="R151" s="98">
        <f>Q151*CCS!D$119/100</f>
        <v>0.21604999999999996</v>
      </c>
      <c r="S151" s="98">
        <f>AD151+CCS!$M$120/3.6*7.45</f>
        <v>1.0347222222222221</v>
      </c>
      <c r="T151" s="115"/>
      <c r="U151" s="115"/>
      <c r="V151" s="115"/>
      <c r="W151" s="115"/>
      <c r="X151" s="115"/>
      <c r="AB151" s="115">
        <v>0.44700000000000001</v>
      </c>
      <c r="AC151" s="115">
        <v>1.45275E-2</v>
      </c>
      <c r="AD151" s="115">
        <v>2.276388888888889</v>
      </c>
      <c r="AE151" s="115"/>
    </row>
    <row r="152" spans="2:31" s="94" customFormat="1" ht="30.6" customHeight="1">
      <c r="B152" s="114"/>
      <c r="C152" s="114"/>
      <c r="D152" s="114"/>
      <c r="E152" s="115" t="s">
        <v>17</v>
      </c>
      <c r="F152" s="114"/>
      <c r="G152" s="116"/>
      <c r="H152" s="244" t="s">
        <v>683</v>
      </c>
      <c r="I152" s="115">
        <v>2020</v>
      </c>
      <c r="J152" s="115"/>
      <c r="K152" s="115">
        <f>CCS!T$112</f>
        <v>0.19565217391304349</v>
      </c>
      <c r="L152" s="115"/>
      <c r="N152" s="115"/>
      <c r="O152" s="115"/>
      <c r="P152" s="115"/>
      <c r="Q152" s="98"/>
      <c r="R152" s="98"/>
      <c r="S152" s="98"/>
      <c r="T152" s="115"/>
      <c r="U152" s="115"/>
      <c r="V152" s="115"/>
      <c r="W152" s="115"/>
      <c r="X152" s="115"/>
      <c r="AB152" s="115"/>
      <c r="AC152" s="115"/>
      <c r="AD152" s="115"/>
      <c r="AE152" s="115"/>
    </row>
    <row r="153" spans="2:31" s="94" customFormat="1" ht="30.6" customHeight="1">
      <c r="B153" s="114"/>
      <c r="C153" s="114"/>
      <c r="D153" s="114"/>
      <c r="E153" s="114"/>
      <c r="F153" s="1"/>
      <c r="G153" s="115"/>
      <c r="H153" s="244" t="s">
        <v>683</v>
      </c>
      <c r="I153" s="115">
        <v>2030</v>
      </c>
      <c r="J153" s="115"/>
      <c r="K153" s="115"/>
      <c r="L153" s="115">
        <v>1.05</v>
      </c>
      <c r="N153" s="115"/>
      <c r="O153" s="115"/>
      <c r="P153" s="115"/>
      <c r="Q153" s="98">
        <f>AB153+CCS!N$114/1000*7.45</f>
        <v>7.4499999999999993</v>
      </c>
      <c r="R153" s="98">
        <f>Q153*CCS!E$119/100</f>
        <v>0.18625</v>
      </c>
      <c r="S153" s="98">
        <f>AD153+CCS!$N$120/3.6*7.45</f>
        <v>0.82777777777777772</v>
      </c>
      <c r="T153" s="115"/>
      <c r="U153" s="115"/>
      <c r="V153" s="115"/>
      <c r="W153" s="115"/>
      <c r="X153" s="115"/>
      <c r="AB153" s="115">
        <v>0.37250000000000005</v>
      </c>
      <c r="AC153" s="115">
        <v>1.4154999999999999E-2</v>
      </c>
      <c r="AD153" s="115">
        <v>2.0694444444444446</v>
      </c>
      <c r="AE153" s="115"/>
    </row>
    <row r="154" spans="2:31" s="94" customFormat="1" ht="30.6" customHeight="1">
      <c r="B154" s="114"/>
      <c r="C154" s="114"/>
      <c r="D154" s="114"/>
      <c r="E154" s="115" t="s">
        <v>17</v>
      </c>
      <c r="F154" s="114"/>
      <c r="G154" s="115"/>
      <c r="H154" s="244" t="s">
        <v>683</v>
      </c>
      <c r="I154" s="115">
        <v>2030</v>
      </c>
      <c r="J154" s="115"/>
      <c r="K154" s="115">
        <f>CCS!V$112</f>
        <v>0.1875</v>
      </c>
      <c r="L154" s="115"/>
      <c r="N154" s="115"/>
      <c r="O154" s="115"/>
      <c r="P154" s="115"/>
      <c r="Q154" s="98"/>
      <c r="R154" s="98"/>
      <c r="S154" s="98"/>
      <c r="T154" s="115"/>
      <c r="U154" s="115"/>
      <c r="V154" s="115"/>
      <c r="W154" s="115"/>
      <c r="X154" s="115"/>
      <c r="AB154" s="115"/>
      <c r="AC154" s="115"/>
      <c r="AD154" s="115"/>
      <c r="AE154" s="115"/>
    </row>
    <row r="155" spans="2:31" s="94" customFormat="1" ht="30.6" customHeight="1">
      <c r="B155" s="114"/>
      <c r="C155" s="114"/>
      <c r="D155" s="114"/>
      <c r="E155" s="114"/>
      <c r="F155" s="1"/>
      <c r="G155" s="115"/>
      <c r="H155" s="244" t="s">
        <v>683</v>
      </c>
      <c r="I155" s="115">
        <v>2050</v>
      </c>
      <c r="J155" s="115"/>
      <c r="K155" s="115"/>
      <c r="L155" s="115">
        <v>1.05</v>
      </c>
      <c r="N155" s="115"/>
      <c r="O155" s="115"/>
      <c r="P155" s="115"/>
      <c r="Q155" s="98">
        <f>AB155+CCS!P$114/1000*7.45</f>
        <v>7.4499999999999993</v>
      </c>
      <c r="R155" s="98">
        <f>Q155*CCS!G$119/100</f>
        <v>0.18625</v>
      </c>
      <c r="S155" s="98">
        <f>AD155+CCS!$P$120/3.6*7.45</f>
        <v>1.0347222222222221</v>
      </c>
      <c r="T155" s="115"/>
      <c r="U155" s="115"/>
      <c r="V155" s="115"/>
      <c r="W155" s="115"/>
      <c r="X155" s="115"/>
      <c r="AB155" s="115">
        <v>0.37250000000000005</v>
      </c>
      <c r="AC155" s="115">
        <v>1.2664999999999999E-2</v>
      </c>
      <c r="AD155" s="115">
        <v>2.276388888888889</v>
      </c>
      <c r="AE155" s="115"/>
    </row>
    <row r="156" spans="2:31" s="94" customFormat="1" ht="30.6" customHeight="1">
      <c r="B156" s="114"/>
      <c r="C156" s="114"/>
      <c r="D156" s="114"/>
      <c r="E156" s="115" t="s">
        <v>17</v>
      </c>
      <c r="F156" s="114"/>
      <c r="G156" s="115"/>
      <c r="H156" s="244" t="s">
        <v>683</v>
      </c>
      <c r="I156" s="115">
        <v>2050</v>
      </c>
      <c r="J156" s="115"/>
      <c r="K156" s="115">
        <f>CCS!W$112</f>
        <v>0.1875</v>
      </c>
      <c r="L156" s="115"/>
      <c r="N156" s="115"/>
      <c r="O156" s="115"/>
      <c r="P156" s="115"/>
      <c r="Q156" s="98"/>
      <c r="R156" s="98"/>
      <c r="S156" s="98"/>
      <c r="T156" s="115"/>
      <c r="U156" s="115"/>
      <c r="V156" s="115"/>
      <c r="W156" s="115"/>
      <c r="X156" s="115"/>
      <c r="AB156" s="115"/>
      <c r="AC156" s="115"/>
      <c r="AD156" s="115"/>
      <c r="AE156" s="115"/>
    </row>
    <row r="157" spans="2:31" s="94" customFormat="1" ht="30.6" customHeight="1">
      <c r="B157" s="1"/>
      <c r="C157" s="1"/>
      <c r="D157" s="1"/>
      <c r="E157" s="114"/>
      <c r="F157" s="1"/>
      <c r="G157" s="1"/>
      <c r="H157" s="114"/>
      <c r="I157" s="1"/>
      <c r="J157" s="1"/>
      <c r="K157" s="1"/>
      <c r="L157" s="1"/>
      <c r="M157" s="1"/>
      <c r="N157" s="1"/>
      <c r="O157" s="1"/>
      <c r="P157" s="1"/>
      <c r="Q157" s="1"/>
      <c r="R157" s="1"/>
      <c r="S157" s="1"/>
      <c r="T157" s="1"/>
      <c r="U157" s="1"/>
      <c r="V157" s="1"/>
      <c r="W157" s="2"/>
      <c r="X157" s="2"/>
    </row>
    <row r="158" spans="2:31" s="94" customFormat="1" ht="30.6" customHeight="1">
      <c r="B158" s="1"/>
      <c r="C158" s="1"/>
      <c r="D158" s="1"/>
      <c r="E158" s="114"/>
      <c r="F158" s="1"/>
      <c r="G158" s="1"/>
      <c r="H158" s="114"/>
      <c r="I158" s="1"/>
      <c r="J158" s="1"/>
      <c r="K158" s="1"/>
      <c r="L158" s="1"/>
      <c r="M158" s="1"/>
      <c r="N158" s="1"/>
      <c r="O158" s="1"/>
      <c r="P158" s="1"/>
      <c r="Q158" s="1"/>
      <c r="R158" s="1"/>
      <c r="S158" s="1"/>
      <c r="T158" s="1"/>
      <c r="U158" s="1"/>
      <c r="V158" s="1"/>
      <c r="W158" s="2"/>
      <c r="X158" s="2"/>
    </row>
    <row r="159" spans="2:31" s="94" customFormat="1" ht="30.6" customHeight="1">
      <c r="B159" s="1"/>
      <c r="C159" s="1"/>
      <c r="D159" s="1"/>
      <c r="E159" s="114"/>
      <c r="F159" s="1"/>
      <c r="G159" s="1"/>
      <c r="H159" s="114"/>
      <c r="I159" s="1"/>
      <c r="J159" s="1"/>
      <c r="K159" s="1"/>
      <c r="L159" s="1"/>
      <c r="M159" s="1"/>
      <c r="N159" s="1"/>
      <c r="O159" s="1"/>
      <c r="P159" s="1"/>
      <c r="Q159" s="1"/>
      <c r="R159" s="1"/>
      <c r="S159" s="1"/>
      <c r="T159" s="1"/>
      <c r="U159" s="1"/>
      <c r="V159" s="1"/>
      <c r="W159" s="2"/>
      <c r="X159" s="2"/>
    </row>
    <row r="160" spans="2:31" s="94" customFormat="1" ht="30.6" customHeight="1">
      <c r="B160" s="1"/>
      <c r="C160" s="1"/>
      <c r="D160" s="1"/>
      <c r="E160" s="114"/>
      <c r="F160" s="1"/>
      <c r="G160" s="1"/>
      <c r="H160" s="114"/>
      <c r="I160" s="1"/>
      <c r="J160" s="1"/>
      <c r="K160" s="1"/>
      <c r="L160" s="1"/>
      <c r="M160" s="1"/>
      <c r="N160" s="1"/>
      <c r="O160" s="1"/>
      <c r="P160" s="1"/>
      <c r="Q160" s="1"/>
      <c r="R160" s="1"/>
      <c r="S160" s="1"/>
      <c r="T160" s="1"/>
      <c r="U160" s="1"/>
      <c r="V160" s="1"/>
      <c r="W160" s="2"/>
      <c r="X160" s="2"/>
    </row>
    <row r="161" spans="2:32" s="94" customFormat="1" ht="30.6" customHeight="1">
      <c r="B161" s="1"/>
      <c r="C161" s="1"/>
      <c r="D161" s="1"/>
      <c r="E161" s="114"/>
      <c r="F161" s="1"/>
      <c r="G161" s="1"/>
      <c r="H161" s="114"/>
      <c r="I161" s="1"/>
      <c r="J161" s="1"/>
      <c r="K161" s="1"/>
      <c r="L161" s="1"/>
      <c r="M161" s="1"/>
      <c r="N161" s="1"/>
      <c r="O161" s="1"/>
      <c r="P161" s="1"/>
      <c r="Q161" s="1"/>
      <c r="R161" s="1"/>
      <c r="S161" s="1"/>
      <c r="T161" s="1"/>
      <c r="U161" s="1"/>
      <c r="V161" s="1"/>
      <c r="W161" s="2"/>
      <c r="X161" s="2"/>
      <c r="AF161" s="2"/>
    </row>
    <row r="162" spans="2:32" ht="30.6" customHeight="1">
      <c r="W162" s="2"/>
      <c r="AE162" s="94"/>
      <c r="AF162" s="94"/>
    </row>
    <row r="163" spans="2:32" s="94" customFormat="1" ht="30.6" customHeight="1">
      <c r="B163" s="1"/>
      <c r="C163" s="1"/>
      <c r="D163" s="1"/>
      <c r="E163" s="114"/>
      <c r="F163" s="1"/>
      <c r="G163" s="1"/>
      <c r="H163" s="114"/>
      <c r="I163" s="1"/>
      <c r="J163" s="1"/>
      <c r="K163" s="1"/>
      <c r="L163" s="1"/>
      <c r="M163" s="1"/>
      <c r="N163" s="1"/>
      <c r="O163" s="1"/>
      <c r="P163" s="1"/>
      <c r="Q163" s="1"/>
      <c r="R163" s="1"/>
      <c r="S163" s="1"/>
      <c r="T163" s="1"/>
      <c r="U163" s="1"/>
      <c r="V163" s="1"/>
      <c r="W163" s="2"/>
      <c r="X163" s="2"/>
      <c r="AE163" s="2"/>
    </row>
    <row r="164" spans="2:32" s="94" customFormat="1" ht="30.6" customHeight="1">
      <c r="B164" s="1"/>
      <c r="C164" s="1"/>
      <c r="D164" s="1"/>
      <c r="E164" s="114"/>
      <c r="F164" s="1"/>
      <c r="G164" s="1"/>
      <c r="H164" s="114"/>
      <c r="I164" s="1"/>
      <c r="J164" s="1"/>
      <c r="K164" s="1"/>
      <c r="L164" s="1"/>
      <c r="M164" s="1"/>
      <c r="N164" s="1"/>
      <c r="O164" s="1"/>
      <c r="P164" s="1"/>
      <c r="Q164" s="1"/>
      <c r="R164" s="1"/>
      <c r="S164" s="1"/>
      <c r="T164" s="1"/>
      <c r="U164" s="1"/>
      <c r="V164" s="1"/>
      <c r="W164" s="2"/>
      <c r="X164" s="2"/>
      <c r="AF164" s="2"/>
    </row>
    <row r="165" spans="2:32" ht="30.6" customHeight="1">
      <c r="W165" s="2"/>
      <c r="AE165" s="94"/>
      <c r="AF165" s="94"/>
    </row>
    <row r="166" spans="2:32" s="94" customFormat="1" ht="30.6" customHeight="1">
      <c r="B166" s="1"/>
      <c r="C166" s="1"/>
      <c r="D166" s="1"/>
      <c r="E166" s="114"/>
      <c r="F166" s="1"/>
      <c r="G166" s="1"/>
      <c r="H166" s="114"/>
      <c r="I166" s="1"/>
      <c r="J166" s="1"/>
      <c r="K166" s="1"/>
      <c r="L166" s="1"/>
      <c r="M166" s="1"/>
      <c r="N166" s="1"/>
      <c r="O166" s="1"/>
      <c r="P166" s="1"/>
      <c r="Q166" s="1"/>
      <c r="R166" s="1"/>
      <c r="S166" s="1"/>
      <c r="T166" s="1"/>
      <c r="U166" s="1"/>
      <c r="V166" s="1"/>
      <c r="W166" s="2"/>
      <c r="X166" s="2"/>
      <c r="AE166" s="2"/>
    </row>
    <row r="167" spans="2:32" s="94" customFormat="1" ht="30.6" customHeight="1">
      <c r="B167" s="1"/>
      <c r="C167" s="1"/>
      <c r="D167" s="1"/>
      <c r="E167" s="114"/>
      <c r="F167" s="1"/>
      <c r="G167" s="1"/>
      <c r="H167" s="114"/>
      <c r="I167" s="1"/>
      <c r="J167" s="1"/>
      <c r="K167" s="1"/>
      <c r="L167" s="1"/>
      <c r="M167" s="1"/>
      <c r="N167" s="1"/>
      <c r="O167" s="1"/>
      <c r="P167" s="1"/>
      <c r="Q167" s="1"/>
      <c r="R167" s="1"/>
      <c r="S167" s="1"/>
      <c r="T167" s="1"/>
      <c r="U167" s="1"/>
      <c r="V167" s="1"/>
      <c r="W167" s="2"/>
      <c r="X167" s="2"/>
      <c r="AF167" s="2"/>
    </row>
    <row r="168" spans="2:32" ht="30.6" customHeight="1">
      <c r="W168" s="2"/>
      <c r="AE168" s="94"/>
      <c r="AF168" s="94"/>
    </row>
    <row r="169" spans="2:32" s="94" customFormat="1" ht="30.6" customHeight="1">
      <c r="B169" s="1"/>
      <c r="C169" s="1"/>
      <c r="D169" s="1"/>
      <c r="E169" s="114"/>
      <c r="F169" s="1"/>
      <c r="G169" s="1"/>
      <c r="H169" s="114"/>
      <c r="I169" s="1"/>
      <c r="J169" s="1"/>
      <c r="K169" s="1"/>
      <c r="L169" s="1"/>
      <c r="M169" s="1"/>
      <c r="N169" s="1"/>
      <c r="O169" s="1"/>
      <c r="P169" s="1"/>
      <c r="Q169" s="1"/>
      <c r="R169" s="1"/>
      <c r="S169" s="1"/>
      <c r="T169" s="1"/>
      <c r="U169" s="1"/>
      <c r="V169" s="1"/>
      <c r="W169" s="2"/>
      <c r="X169" s="2"/>
      <c r="AE169" s="2"/>
    </row>
    <row r="170" spans="2:32" s="94" customFormat="1" ht="30.6" customHeight="1">
      <c r="B170" s="1"/>
      <c r="C170" s="1"/>
      <c r="D170" s="1"/>
      <c r="E170" s="114"/>
      <c r="F170" s="1"/>
      <c r="G170" s="1"/>
      <c r="H170" s="114"/>
      <c r="I170" s="1"/>
      <c r="J170" s="1"/>
      <c r="K170" s="1"/>
      <c r="L170" s="1"/>
      <c r="M170" s="1"/>
      <c r="N170" s="1"/>
      <c r="O170" s="1"/>
      <c r="P170" s="1"/>
      <c r="Q170" s="1"/>
      <c r="R170" s="1"/>
      <c r="S170" s="1"/>
      <c r="T170" s="1"/>
      <c r="U170" s="1"/>
      <c r="V170" s="1"/>
      <c r="W170" s="2"/>
      <c r="X170" s="2"/>
      <c r="AF170" s="2"/>
    </row>
    <row r="171" spans="2:32" ht="30.6" customHeight="1">
      <c r="W171" s="2"/>
      <c r="AE171" s="94"/>
      <c r="AF171" s="94"/>
    </row>
    <row r="172" spans="2:32" s="94" customFormat="1" ht="30.6" customHeight="1">
      <c r="B172" s="1"/>
      <c r="C172" s="1"/>
      <c r="D172" s="1"/>
      <c r="E172" s="114"/>
      <c r="F172" s="1"/>
      <c r="G172" s="1"/>
      <c r="H172" s="114"/>
      <c r="I172" s="1"/>
      <c r="J172" s="1"/>
      <c r="K172" s="1"/>
      <c r="L172" s="1"/>
      <c r="M172" s="1"/>
      <c r="N172" s="1"/>
      <c r="O172" s="1"/>
      <c r="P172" s="1"/>
      <c r="Q172" s="1"/>
      <c r="R172" s="1"/>
      <c r="S172" s="1"/>
      <c r="T172" s="1"/>
      <c r="U172" s="1"/>
      <c r="V172" s="1"/>
      <c r="W172" s="2"/>
      <c r="X172" s="2"/>
      <c r="AE172" s="2"/>
    </row>
    <row r="173" spans="2:32" s="94" customFormat="1" ht="30.6" customHeight="1">
      <c r="B173" s="1"/>
      <c r="C173" s="1"/>
      <c r="D173" s="1"/>
      <c r="E173" s="114"/>
      <c r="F173" s="1"/>
      <c r="G173" s="1"/>
      <c r="H173" s="114"/>
      <c r="I173" s="1"/>
      <c r="J173" s="1"/>
      <c r="K173" s="1"/>
      <c r="L173" s="1"/>
      <c r="M173" s="1"/>
      <c r="N173" s="1"/>
      <c r="O173" s="1"/>
      <c r="P173" s="1"/>
      <c r="Q173" s="1"/>
      <c r="R173" s="1"/>
      <c r="S173" s="1"/>
      <c r="T173" s="1"/>
      <c r="U173" s="1"/>
      <c r="V173" s="1"/>
      <c r="W173" s="2"/>
      <c r="X173" s="2"/>
      <c r="AF173" s="2"/>
    </row>
    <row r="174" spans="2:32" ht="30.6" customHeight="1">
      <c r="W174" s="2"/>
      <c r="AE174" s="94"/>
      <c r="AF174" s="94"/>
    </row>
    <row r="175" spans="2:32" s="94" customFormat="1" ht="30.6" customHeight="1">
      <c r="B175" s="1"/>
      <c r="C175" s="1"/>
      <c r="D175" s="1"/>
      <c r="E175" s="114"/>
      <c r="F175" s="1"/>
      <c r="G175" s="1"/>
      <c r="H175" s="114"/>
      <c r="I175" s="1"/>
      <c r="J175" s="1"/>
      <c r="K175" s="1"/>
      <c r="L175" s="1"/>
      <c r="M175" s="1"/>
      <c r="N175" s="1"/>
      <c r="O175" s="1"/>
      <c r="P175" s="1"/>
      <c r="Q175" s="1"/>
      <c r="R175" s="1"/>
      <c r="S175" s="1"/>
      <c r="T175" s="1"/>
      <c r="U175" s="1"/>
      <c r="V175" s="1"/>
      <c r="W175" s="2"/>
      <c r="X175" s="2"/>
      <c r="AE175" s="2"/>
    </row>
    <row r="176" spans="2:32" s="94" customFormat="1" ht="30.6" customHeight="1">
      <c r="B176" s="1"/>
      <c r="C176" s="1"/>
      <c r="D176" s="1"/>
      <c r="E176" s="114"/>
      <c r="F176" s="1"/>
      <c r="G176" s="1"/>
      <c r="H176" s="114"/>
      <c r="I176" s="1"/>
      <c r="J176" s="1"/>
      <c r="K176" s="1"/>
      <c r="L176" s="1"/>
      <c r="M176" s="1"/>
      <c r="N176" s="1"/>
      <c r="O176" s="1"/>
      <c r="P176" s="1"/>
      <c r="Q176" s="1"/>
      <c r="R176" s="1"/>
      <c r="S176" s="1"/>
      <c r="T176" s="1"/>
      <c r="U176" s="1"/>
      <c r="V176" s="1"/>
      <c r="W176" s="2"/>
      <c r="X176" s="2"/>
      <c r="AF176" s="2"/>
    </row>
    <row r="177" spans="2:32" ht="30.6" customHeight="1">
      <c r="W177" s="2"/>
      <c r="AE177" s="94"/>
      <c r="AF177" s="94"/>
    </row>
    <row r="178" spans="2:32" s="94" customFormat="1" ht="30.6" customHeight="1">
      <c r="B178" s="2"/>
      <c r="C178" s="1"/>
      <c r="D178" s="1"/>
      <c r="E178" s="114"/>
      <c r="F178" s="1"/>
      <c r="G178" s="1"/>
      <c r="H178" s="114"/>
      <c r="I178" s="1"/>
      <c r="J178" s="1"/>
      <c r="K178" s="1"/>
      <c r="L178" s="1"/>
      <c r="M178" s="1"/>
      <c r="N178" s="1"/>
      <c r="O178" s="1"/>
      <c r="P178" s="1"/>
      <c r="Q178" s="1"/>
      <c r="R178" s="1"/>
      <c r="S178" s="1"/>
      <c r="T178" s="1"/>
      <c r="U178" s="1"/>
      <c r="V178" s="1"/>
      <c r="W178" s="2"/>
      <c r="X178" s="2"/>
      <c r="AE178" s="2"/>
    </row>
    <row r="179" spans="2:32" s="94" customFormat="1" ht="30.6" customHeight="1">
      <c r="B179" s="2"/>
      <c r="C179" s="1"/>
      <c r="D179" s="1"/>
      <c r="E179" s="114"/>
      <c r="F179" s="1"/>
      <c r="G179" s="1"/>
      <c r="H179" s="114"/>
      <c r="I179" s="1"/>
      <c r="J179" s="1"/>
      <c r="K179" s="1"/>
      <c r="L179" s="1"/>
      <c r="M179" s="1"/>
      <c r="N179" s="1"/>
      <c r="O179" s="1"/>
      <c r="P179" s="1"/>
      <c r="Q179" s="1"/>
      <c r="R179" s="1"/>
      <c r="S179" s="1"/>
      <c r="T179" s="1"/>
      <c r="U179" s="1"/>
      <c r="V179" s="1"/>
      <c r="W179" s="2"/>
      <c r="X179" s="2"/>
      <c r="AF179" s="2"/>
    </row>
    <row r="180" spans="2:32" ht="30.6" customHeight="1">
      <c r="B180" s="2"/>
      <c r="W180" s="2"/>
      <c r="AE180" s="94"/>
      <c r="AF180" s="94"/>
    </row>
    <row r="181" spans="2:32" s="94" customFormat="1" ht="30.6" customHeight="1">
      <c r="B181" s="2"/>
      <c r="C181" s="1"/>
      <c r="D181" s="1"/>
      <c r="E181" s="114"/>
      <c r="F181" s="1"/>
      <c r="G181" s="1"/>
      <c r="H181" s="114"/>
      <c r="I181" s="1"/>
      <c r="J181" s="1"/>
      <c r="K181" s="1"/>
      <c r="L181" s="1"/>
      <c r="M181" s="1"/>
      <c r="N181" s="1"/>
      <c r="O181" s="1"/>
      <c r="P181" s="1"/>
      <c r="Q181" s="1"/>
      <c r="R181" s="1"/>
      <c r="S181" s="1"/>
      <c r="T181" s="1"/>
      <c r="U181" s="1"/>
      <c r="V181" s="1"/>
      <c r="W181" s="2"/>
      <c r="X181" s="2"/>
      <c r="AE181" s="2"/>
    </row>
    <row r="182" spans="2:32" s="94" customFormat="1" ht="30.6" customHeight="1">
      <c r="B182" s="2"/>
      <c r="C182" s="1"/>
      <c r="D182" s="1"/>
      <c r="E182" s="114"/>
      <c r="F182" s="1"/>
      <c r="G182" s="1"/>
      <c r="H182" s="114"/>
      <c r="I182" s="1"/>
      <c r="J182" s="1"/>
      <c r="K182" s="1"/>
      <c r="L182" s="1"/>
      <c r="M182" s="1"/>
      <c r="N182" s="1"/>
      <c r="O182" s="1"/>
      <c r="P182" s="1"/>
      <c r="Q182" s="1"/>
      <c r="R182" s="1"/>
      <c r="S182" s="1"/>
      <c r="T182" s="1"/>
      <c r="U182" s="1"/>
      <c r="V182" s="1"/>
      <c r="W182" s="2"/>
      <c r="X182" s="2"/>
      <c r="AF182" s="2"/>
    </row>
    <row r="183" spans="2:32" ht="30.6" customHeight="1">
      <c r="B183" s="2"/>
      <c r="W183" s="2"/>
      <c r="AE183" s="94"/>
      <c r="AF183" s="94"/>
    </row>
    <row r="184" spans="2:32" s="94" customFormat="1" ht="30.6" customHeight="1">
      <c r="B184" s="2"/>
      <c r="C184" s="1"/>
      <c r="D184" s="1"/>
      <c r="E184" s="114"/>
      <c r="F184" s="1"/>
      <c r="G184" s="1"/>
      <c r="H184" s="114"/>
      <c r="I184" s="1"/>
      <c r="J184" s="1"/>
      <c r="K184" s="1"/>
      <c r="L184" s="1"/>
      <c r="M184" s="1"/>
      <c r="N184" s="1"/>
      <c r="O184" s="1"/>
      <c r="P184" s="1"/>
      <c r="Q184" s="1"/>
      <c r="R184" s="1"/>
      <c r="S184" s="1"/>
      <c r="T184" s="1"/>
      <c r="U184" s="1"/>
      <c r="V184" s="1"/>
      <c r="W184" s="2"/>
      <c r="X184" s="2"/>
      <c r="AE184" s="2"/>
    </row>
    <row r="185" spans="2:32" s="94" customFormat="1" ht="30.6" customHeight="1">
      <c r="B185" s="2"/>
      <c r="C185" s="1"/>
      <c r="D185" s="1"/>
      <c r="E185" s="114"/>
      <c r="F185" s="1"/>
      <c r="G185" s="1"/>
      <c r="H185" s="114"/>
      <c r="I185" s="1"/>
      <c r="J185" s="1"/>
      <c r="K185" s="1"/>
      <c r="L185" s="1"/>
      <c r="M185" s="1"/>
      <c r="N185" s="1"/>
      <c r="O185" s="1"/>
      <c r="P185" s="1"/>
      <c r="Q185" s="1"/>
      <c r="R185" s="1"/>
      <c r="S185" s="1"/>
      <c r="T185" s="1"/>
      <c r="U185" s="1"/>
      <c r="V185" s="1"/>
      <c r="W185" s="2"/>
      <c r="X185" s="2"/>
      <c r="AF185" s="2"/>
    </row>
    <row r="186" spans="2:32" ht="30.6" customHeight="1">
      <c r="B186" s="2"/>
      <c r="W186" s="2"/>
      <c r="AE186" s="94"/>
      <c r="AF186" s="94"/>
    </row>
    <row r="187" spans="2:32" s="94" customFormat="1" ht="30.6" customHeight="1">
      <c r="B187" s="2"/>
      <c r="C187" s="1"/>
      <c r="D187" s="1"/>
      <c r="E187" s="114"/>
      <c r="F187" s="1"/>
      <c r="G187" s="1"/>
      <c r="H187" s="114"/>
      <c r="I187" s="1"/>
      <c r="J187" s="1"/>
      <c r="K187" s="1"/>
      <c r="L187" s="1"/>
      <c r="M187" s="1"/>
      <c r="N187" s="1"/>
      <c r="O187" s="1"/>
      <c r="P187" s="1"/>
      <c r="Q187" s="1"/>
      <c r="R187" s="1"/>
      <c r="S187" s="1"/>
      <c r="T187" s="1"/>
      <c r="U187" s="1"/>
      <c r="V187" s="1"/>
      <c r="W187" s="2"/>
      <c r="X187" s="2"/>
      <c r="AE187" s="2"/>
      <c r="AF187" s="2"/>
    </row>
    <row r="188" spans="2:32" ht="30.6" customHeight="1">
      <c r="B188" s="2"/>
      <c r="W188" s="2"/>
      <c r="AE188" s="94"/>
    </row>
    <row r="189" spans="2:32" ht="30.6" customHeight="1">
      <c r="B189" s="2"/>
      <c r="W189" s="2"/>
    </row>
    <row r="190" spans="2:32" ht="30.6" customHeight="1">
      <c r="B190" s="2"/>
      <c r="W190" s="2"/>
    </row>
    <row r="191" spans="2:32" ht="30.6" customHeight="1">
      <c r="B191" s="2"/>
      <c r="W191" s="2"/>
    </row>
    <row r="192" spans="2:32" ht="30.6" customHeight="1">
      <c r="B192" s="2"/>
      <c r="W192" s="2"/>
    </row>
    <row r="193" spans="2:23" ht="30.6" customHeight="1">
      <c r="B193" s="2"/>
      <c r="W193" s="2"/>
    </row>
    <row r="194" spans="2:23" ht="30.6" customHeight="1">
      <c r="B194" s="2"/>
      <c r="W194" s="2"/>
    </row>
    <row r="195" spans="2:23" ht="30.6" customHeight="1">
      <c r="B195" s="2"/>
      <c r="W195" s="2"/>
    </row>
    <row r="196" spans="2:23" ht="30.6" customHeight="1">
      <c r="B196" s="2"/>
      <c r="W196" s="2"/>
    </row>
    <row r="197" spans="2:23" ht="30.6" customHeight="1">
      <c r="B197" s="2"/>
      <c r="W197" s="2"/>
    </row>
    <row r="198" spans="2:23" ht="30.6" customHeight="1">
      <c r="B198" s="2"/>
      <c r="W198" s="2"/>
    </row>
    <row r="199" spans="2:23" ht="30.6" customHeight="1">
      <c r="B199" s="2"/>
      <c r="W199" s="2"/>
    </row>
    <row r="200" spans="2:23" ht="30.6" customHeight="1">
      <c r="B200" s="2"/>
      <c r="W200" s="2"/>
    </row>
    <row r="201" spans="2:23" ht="30.6" customHeight="1">
      <c r="B201" s="2"/>
      <c r="W201" s="2"/>
    </row>
    <row r="202" spans="2:23" ht="30.6" customHeight="1">
      <c r="B202" s="2"/>
      <c r="W202" s="2"/>
    </row>
    <row r="203" spans="2:23" ht="30.6" customHeight="1">
      <c r="B203" s="2"/>
      <c r="W203" s="2"/>
    </row>
    <row r="204" spans="2:23" ht="30.6" customHeight="1">
      <c r="B204" s="2"/>
      <c r="W204" s="2"/>
    </row>
    <row r="205" spans="2:23" ht="30.6" customHeight="1">
      <c r="B205" s="2"/>
      <c r="W205" s="2"/>
    </row>
    <row r="206" spans="2:23" ht="30.6" customHeight="1">
      <c r="B206" s="2"/>
      <c r="W206" s="2"/>
    </row>
    <row r="207" spans="2:23" ht="30.6" customHeight="1">
      <c r="B207" s="2"/>
      <c r="W207" s="2"/>
    </row>
    <row r="208" spans="2:23" ht="30.6" customHeight="1">
      <c r="B208" s="2"/>
      <c r="W208" s="2"/>
    </row>
    <row r="209" spans="2:23" ht="30.6" customHeight="1">
      <c r="B209" s="2"/>
      <c r="W209" s="2"/>
    </row>
    <row r="210" spans="2:23" ht="30.6" customHeight="1">
      <c r="W210" s="2"/>
    </row>
  </sheetData>
  <pageMargins left="0.7" right="0.7"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CBCED-923B-46B5-B530-741E3BAB3508}">
  <sheetPr>
    <tabColor rgb="FF92D050"/>
  </sheetPr>
  <dimension ref="A2:AU199"/>
  <sheetViews>
    <sheetView workbookViewId="0">
      <pane xSplit="4" ySplit="6" topLeftCell="E7" activePane="bottomRight" state="frozen"/>
      <selection activeCell="B2" sqref="B2:L2"/>
      <selection pane="topRight" activeCell="B2" sqref="B2:L2"/>
      <selection pane="bottomLeft" activeCell="B2" sqref="B2:L2"/>
      <selection pane="bottomRight" activeCell="D14" sqref="D14"/>
    </sheetView>
  </sheetViews>
  <sheetFormatPr defaultColWidth="8.88671875" defaultRowHeight="14.4"/>
  <cols>
    <col min="1" max="1" width="18.44140625" style="134" customWidth="1"/>
    <col min="2" max="2" width="8.88671875" style="134"/>
    <col min="3" max="3" width="20.6640625" style="134" bestFit="1" customWidth="1"/>
    <col min="4" max="4" width="83.88671875" style="134" bestFit="1" customWidth="1"/>
    <col min="5" max="5" width="8.88671875" style="134"/>
    <col min="6" max="7" width="11.6640625" style="134" customWidth="1"/>
    <col min="8" max="13" width="8.88671875" style="134"/>
    <col min="14" max="14" width="12" style="134" bestFit="1" customWidth="1"/>
    <col min="15" max="29" width="8.88671875" style="134"/>
    <col min="30" max="30" width="9.88671875" style="134" bestFit="1" customWidth="1"/>
    <col min="31" max="16384" width="8.88671875" style="134"/>
  </cols>
  <sheetData>
    <row r="2" spans="1:47">
      <c r="AQ2" s="134" t="s">
        <v>796</v>
      </c>
    </row>
    <row r="4" spans="1:47" ht="25.8">
      <c r="J4" s="4" t="s">
        <v>0</v>
      </c>
      <c r="AA4" s="318" t="s">
        <v>795</v>
      </c>
      <c r="AQ4" s="134" t="s">
        <v>794</v>
      </c>
      <c r="AT4" s="317">
        <v>1297.9768458811</v>
      </c>
      <c r="AU4" s="134" t="s">
        <v>793</v>
      </c>
    </row>
    <row r="5" spans="1:47" ht="72">
      <c r="A5" s="134" t="s">
        <v>792</v>
      </c>
      <c r="C5" s="315" t="s">
        <v>1</v>
      </c>
      <c r="D5" s="315" t="s">
        <v>2</v>
      </c>
      <c r="E5" s="315" t="s">
        <v>681</v>
      </c>
      <c r="F5" s="315" t="s">
        <v>3</v>
      </c>
      <c r="G5" s="315" t="s">
        <v>59</v>
      </c>
      <c r="H5" s="315" t="s">
        <v>4</v>
      </c>
      <c r="I5" s="316" t="s">
        <v>184</v>
      </c>
      <c r="J5" s="315" t="s">
        <v>791</v>
      </c>
      <c r="K5" s="315" t="s">
        <v>6</v>
      </c>
      <c r="L5" s="312" t="s">
        <v>7</v>
      </c>
      <c r="M5" s="312" t="s">
        <v>19</v>
      </c>
      <c r="N5" s="313" t="s">
        <v>8</v>
      </c>
      <c r="O5" s="312" t="s">
        <v>9</v>
      </c>
      <c r="P5" s="311" t="s">
        <v>10</v>
      </c>
      <c r="Q5" s="311" t="s">
        <v>11</v>
      </c>
      <c r="R5" s="309" t="s">
        <v>12</v>
      </c>
      <c r="S5" s="310" t="s">
        <v>786</v>
      </c>
      <c r="T5" s="309" t="s">
        <v>785</v>
      </c>
      <c r="U5" s="309" t="s">
        <v>167</v>
      </c>
      <c r="V5" s="309" t="s">
        <v>190</v>
      </c>
      <c r="W5" s="309" t="s">
        <v>172</v>
      </c>
      <c r="X5" s="314"/>
      <c r="Y5" s="312" t="s">
        <v>790</v>
      </c>
      <c r="Z5" s="312" t="s">
        <v>789</v>
      </c>
      <c r="AA5" s="312" t="s">
        <v>7</v>
      </c>
      <c r="AB5" s="312" t="s">
        <v>788</v>
      </c>
      <c r="AC5" s="312" t="s">
        <v>787</v>
      </c>
      <c r="AD5" s="313" t="s">
        <v>8</v>
      </c>
      <c r="AE5" s="312" t="s">
        <v>9</v>
      </c>
      <c r="AF5" s="311" t="s">
        <v>10</v>
      </c>
      <c r="AG5" s="311" t="s">
        <v>11</v>
      </c>
      <c r="AH5" s="309" t="s">
        <v>12</v>
      </c>
      <c r="AI5" s="310" t="s">
        <v>786</v>
      </c>
      <c r="AJ5" s="309" t="s">
        <v>785</v>
      </c>
      <c r="AK5" s="308" t="s">
        <v>784</v>
      </c>
      <c r="AL5" s="307" t="s">
        <v>783</v>
      </c>
      <c r="AM5" s="306" t="s">
        <v>782</v>
      </c>
      <c r="AN5" s="305" t="s">
        <v>781</v>
      </c>
      <c r="AQ5" s="134" t="s">
        <v>780</v>
      </c>
      <c r="AT5" s="134">
        <v>5.1862186740511591</v>
      </c>
      <c r="AU5" s="134" t="s">
        <v>188</v>
      </c>
    </row>
    <row r="6" spans="1:47" ht="15" thickBot="1">
      <c r="C6" s="304" t="s">
        <v>13</v>
      </c>
      <c r="D6" s="300"/>
      <c r="E6" s="300"/>
      <c r="F6" s="300"/>
      <c r="G6" s="300"/>
      <c r="H6" s="300"/>
      <c r="I6" s="299"/>
      <c r="J6" s="300"/>
      <c r="K6" s="300"/>
      <c r="L6" s="302"/>
      <c r="M6" s="302"/>
      <c r="N6" s="301"/>
      <c r="O6" s="300"/>
      <c r="P6" s="300"/>
      <c r="Q6" s="300"/>
      <c r="R6" s="300"/>
      <c r="S6" s="300"/>
      <c r="T6" s="300"/>
      <c r="U6" s="300"/>
      <c r="V6" s="299"/>
      <c r="W6" s="299"/>
      <c r="X6" s="303"/>
      <c r="Y6" s="302"/>
      <c r="Z6" s="302"/>
      <c r="AA6" s="302"/>
      <c r="AB6" s="302"/>
      <c r="AC6" s="302"/>
      <c r="AD6" s="301"/>
      <c r="AE6" s="300"/>
      <c r="AF6" s="300"/>
      <c r="AG6" s="300"/>
      <c r="AH6" s="300"/>
      <c r="AI6" s="300"/>
      <c r="AJ6" s="300"/>
      <c r="AK6" s="299"/>
      <c r="AL6" s="134" t="s">
        <v>779</v>
      </c>
      <c r="AM6" s="134" t="s">
        <v>779</v>
      </c>
    </row>
    <row r="7" spans="1:47">
      <c r="C7" s="134" t="s">
        <v>341</v>
      </c>
      <c r="I7" s="183"/>
      <c r="J7" s="297"/>
      <c r="K7" s="297"/>
      <c r="L7" s="297"/>
      <c r="M7" s="297"/>
      <c r="N7" s="297" t="s">
        <v>179</v>
      </c>
      <c r="O7" s="297" t="s">
        <v>778</v>
      </c>
      <c r="P7" s="297" t="s">
        <v>180</v>
      </c>
      <c r="Q7" s="297" t="s">
        <v>15</v>
      </c>
      <c r="R7" s="297" t="s">
        <v>15</v>
      </c>
      <c r="S7" s="297"/>
      <c r="T7" s="297"/>
      <c r="U7" s="297"/>
      <c r="V7" s="296"/>
      <c r="W7" s="296"/>
      <c r="X7" s="298"/>
      <c r="Y7" s="297"/>
      <c r="Z7" s="297"/>
      <c r="AA7" s="297"/>
      <c r="AB7" s="297"/>
      <c r="AC7" s="297"/>
      <c r="AD7" s="297" t="s">
        <v>179</v>
      </c>
      <c r="AE7" s="297" t="s">
        <v>778</v>
      </c>
      <c r="AF7" s="297" t="s">
        <v>180</v>
      </c>
      <c r="AG7" s="297" t="s">
        <v>15</v>
      </c>
      <c r="AH7" s="297" t="s">
        <v>15</v>
      </c>
      <c r="AI7" s="297"/>
      <c r="AJ7" s="297"/>
      <c r="AK7" s="296"/>
    </row>
    <row r="8" spans="1:47">
      <c r="A8" s="134" t="str">
        <f>IF(C8&gt;0,LEFT(C8,12),A7)</f>
        <v>INDGDHTGASN1</v>
      </c>
      <c r="C8" s="134" t="str">
        <f>'[10]IND tech'!D132&amp;"CCS"</f>
        <v>INDGDHTGASN1CCS</v>
      </c>
      <c r="D8" s="134" t="str">
        <f>'[10]IND tech'!E132&amp;"CCS"</f>
        <v>Industrial heating technology Glass &amp; Concrete HT - Gas boiler (Steam) - new 1CCS</v>
      </c>
      <c r="E8" s="134" t="s">
        <v>683</v>
      </c>
      <c r="F8" s="134" t="str">
        <f>'[10]IND tech'!$G$132</f>
        <v>INDNGA, INDBGA, INDSNG1, INDSNG2, INDLPG</v>
      </c>
      <c r="H8" s="134" t="str">
        <f>'[10]IND tech'!H132</f>
        <v>IGDHT</v>
      </c>
      <c r="J8" s="134">
        <v>2020</v>
      </c>
      <c r="K8" s="134">
        <v>2020</v>
      </c>
      <c r="L8" s="124">
        <f>Z8+AA8</f>
        <v>0.43648768736348204</v>
      </c>
      <c r="M8" s="134" cm="1">
        <f t="array" ref="M8">INDEX('[10]IND tech'!$L$6:$V$182,MATCH($A8&amp;$J8,'[10]IND tech'!$A$6:$A$182&amp;'[10]IND tech'!$J$6:$J$182,0),MATCH(M$5,'[10]IND tech'!$L$3:$V$3,0))</f>
        <v>25</v>
      </c>
      <c r="N8" s="295" cm="1">
        <f t="array" ref="N8">INDEX('[10]IND tech'!$L$6:$V$182,MATCH($A8&amp;$J8,'[10]IND tech'!$A$6:$A$182&amp;'[10]IND tech'!$J$6:$J$182,0),MATCH(N$5,'[10]IND tech'!$L$3:$V$3,0))+AD8</f>
        <v>25.524076484278737</v>
      </c>
      <c r="O8" s="295" cm="1">
        <f t="array" ref="O8">INDEX('[10]IND tech'!$L$6:$V$182,MATCH($A8&amp;$J8,'[10]IND tech'!$A$6:$A$182&amp;'[10]IND tech'!$J$6:$J$182,0),MATCH(O$5,'[10]IND tech'!$L$3:$V$3,0))+AE8</f>
        <v>0.76843138543745293</v>
      </c>
      <c r="P8" s="295" cm="1">
        <f t="array" ref="P8">INDEX('[10]IND tech'!$L$6:$V$182,MATCH($A8&amp;$J8,'[10]IND tech'!$A$6:$A$182&amp;'[10]IND tech'!$J$6:$J$182,0),MATCH(P$5,'[10]IND tech'!$L$3:$V$3,0))+AF8</f>
        <v>2.8637468888888891</v>
      </c>
      <c r="Q8" s="134" cm="1">
        <f t="array" ref="Q8">INDEX('[10]IND tech'!$L$6:$V$182,MATCH($A8&amp;$J8,'[10]IND tech'!$A$6:$A$182&amp;'[10]IND tech'!$J$6:$J$182,0),MATCH(Q$5,'[10]IND tech'!$L$3:$V$3,0))</f>
        <v>3.1536000000000002E-2</v>
      </c>
      <c r="R8" s="134">
        <v>0.95</v>
      </c>
      <c r="S8" s="134" cm="1">
        <f t="array" ref="S8">INDEX('[10]IND tech'!$L$6:$V$182,MATCH($A8&amp;$J8,'[10]IND tech'!$A$6:$A$182&amp;'[10]IND tech'!$J$6:$J$182,0),MATCH(S$5,'[10]IND tech'!$L$3:$V$3,0))</f>
        <v>1</v>
      </c>
      <c r="W8" s="134">
        <v>3</v>
      </c>
      <c r="Z8" s="124" cm="1">
        <f t="array" ref="Z8">INDEX('[10]IND tech'!$L$6:$V$182,MATCH($A8&amp;$J8,'[10]IND tech'!$A$6:$A$182&amp;'[10]IND tech'!$J$6:$J$182,0),MATCH(Z$5,'[10]IND tech'!$L$3:$V$3,0))</f>
        <v>0.92</v>
      </c>
      <c r="AA8" s="134">
        <f>-AB8/(1+AB8)</f>
        <v>-0.483512312636518</v>
      </c>
      <c r="AB8" s="134">
        <f>'401.c Post comb - Cement kiln'!$B$11*IND_CCS!AN8</f>
        <v>0.9361545772847103</v>
      </c>
      <c r="AD8" s="134">
        <f>'401.c Post comb - Cement kiln'!$B$28*7.45*AN8</f>
        <v>25.117712847915101</v>
      </c>
      <c r="AE8" s="134">
        <f>'401.c Post comb - Cement kiln'!$B$34*IND_CCS!AN8*7.45</f>
        <v>0.75353138543745291</v>
      </c>
      <c r="AF8" s="134">
        <f>$AG$8*'401.c Post comb - Cement kiln'!$B$35*7.45</f>
        <v>0.58735800000000005</v>
      </c>
      <c r="AG8" s="134">
        <f>8760*3.6/1000000</f>
        <v>3.1536000000000002E-2</v>
      </c>
      <c r="AL8" s="134">
        <f>[10]Emissions!$F$11/Z8</f>
        <v>61.902173913043477</v>
      </c>
      <c r="AM8" s="134">
        <f>IF(RIGHT(H8,2)="HT",$AT$4/$AT$5,0)</f>
        <v>250.27422240705468</v>
      </c>
      <c r="AN8" s="134">
        <f>$AG$8*(SUM($AL8:$AM8))*1000/8760</f>
        <v>1.1238350267523534</v>
      </c>
    </row>
    <row r="9" spans="1:47">
      <c r="A9" s="134" t="str">
        <f>A8</f>
        <v>INDGDHTGASN1</v>
      </c>
      <c r="G9" s="134" t="s">
        <v>352</v>
      </c>
      <c r="J9" s="134">
        <v>2020</v>
      </c>
      <c r="U9" s="134">
        <f>AC9</f>
        <v>2.8095875668808834E-2</v>
      </c>
      <c r="AC9" s="134">
        <f>'401.c Post comb - Cement kiln'!$B$12*IND_CCS!AN8</f>
        <v>2.8095875668808834E-2</v>
      </c>
    </row>
    <row r="10" spans="1:47">
      <c r="A10" s="134" t="str">
        <f>A9</f>
        <v>INDGDHTGASN1</v>
      </c>
      <c r="C10" s="134" t="s">
        <v>341</v>
      </c>
      <c r="I10" s="134" t="str">
        <f>'[10]IND tech'!$I$132</f>
        <v>INDGWH</v>
      </c>
      <c r="J10" s="134">
        <v>2020</v>
      </c>
      <c r="V10" s="134" cm="1">
        <f t="array" ref="V10">INDEX('[10]IND tech'!$L$6:$V$182,MATCH($A8&amp;$J8,'[10]IND tech'!$A$6:$A$182&amp;'[10]IND tech'!$J$6:$J$182,0),MATCH(V$5,'[10]IND tech'!$L$3:$V$3,0))</f>
        <v>0.37999999999999995</v>
      </c>
    </row>
    <row r="11" spans="1:47">
      <c r="A11" s="134" t="str">
        <f>A10</f>
        <v>INDGDHTGASN1</v>
      </c>
      <c r="I11" s="134" t="s">
        <v>777</v>
      </c>
      <c r="J11" s="134">
        <v>2020</v>
      </c>
      <c r="V11" s="134">
        <f>SUM(AL8:AM8)</f>
        <v>312.17639632009815</v>
      </c>
    </row>
    <row r="12" spans="1:47">
      <c r="A12" s="134" t="str">
        <f>IF(C12&gt;0,LEFT(C12,12),A11)</f>
        <v>INDGDHTGASN1</v>
      </c>
      <c r="F12" s="134" t="str">
        <f>F8</f>
        <v>INDNGA, INDBGA, INDSNG1, INDSNG2, INDLPG</v>
      </c>
      <c r="H12" s="134" t="str">
        <f>H8</f>
        <v>IGDHT</v>
      </c>
      <c r="J12" s="134">
        <v>2030</v>
      </c>
      <c r="L12" s="124">
        <f>Z12+AA12</f>
        <v>0.48326995257600097</v>
      </c>
      <c r="N12" s="295" cm="1">
        <f t="array" ref="N12">INDEX('[10]IND tech'!$L$6:$V$182,MATCH($A12&amp;$J12,'[10]IND tech'!$A$6:$A$182&amp;'[10]IND tech'!$J$6:$J$182,0),MATCH(N$5,'[10]IND tech'!$L$3:$V$3,0))+AD12</f>
        <v>22.060906182460592</v>
      </c>
      <c r="O12" s="295" cm="1">
        <f t="array" ref="O12">INDEX('[10]IND tech'!$L$6:$V$182,MATCH($A12&amp;$J12,'[10]IND tech'!$A$6:$A$182&amp;'[10]IND tech'!$J$6:$J$182,0),MATCH(O$5,'[10]IND tech'!$L$3:$V$3,0))+AE12</f>
        <v>0.66582309456472677</v>
      </c>
      <c r="P12" s="295" cm="1">
        <f t="array" ref="P12">INDEX('[10]IND tech'!$L$6:$V$182,MATCH($A12&amp;$J12,'[10]IND tech'!$A$6:$A$182&amp;'[10]IND tech'!$J$6:$J$182,0),MATCH(P$5,'[10]IND tech'!$L$3:$V$3,0))+AF12</f>
        <v>2.6568024444444447</v>
      </c>
      <c r="W12" s="134">
        <v>3</v>
      </c>
      <c r="Z12" s="124" cm="1">
        <f t="array" ref="Z12">INDEX('[10]IND tech'!$L$6:$V$182,MATCH($A12&amp;$J12,'[10]IND tech'!$A$6:$A$182&amp;'[10]IND tech'!$J$6:$J$182,0),MATCH(Z$5,'[10]IND tech'!$L$3:$V$3,0))</f>
        <v>0.93</v>
      </c>
      <c r="AA12" s="134">
        <f>-AB12/(1+AB12)</f>
        <v>-0.44673004742399908</v>
      </c>
      <c r="AB12" s="134">
        <f>'401.c Post comb - Cement kiln'!$D$11*IND_CCS!AN12</f>
        <v>0.80743594576940847</v>
      </c>
      <c r="AD12" s="134">
        <f>'401.c Post comb - Cement kiln'!$D$28*7.45*AN12</f>
        <v>21.722269818824227</v>
      </c>
      <c r="AE12" s="134">
        <f>'401.c Post comb - Cement kiln'!$D$34*IND_CCS!AN12*7.45</f>
        <v>0.65166809456472674</v>
      </c>
      <c r="AF12" s="134">
        <f>$AG$8*'401.c Post comb - Cement kiln'!$D$35*7.45</f>
        <v>0.58735800000000005</v>
      </c>
      <c r="AL12" s="134">
        <f>[10]Emissions!$F$11/Z12</f>
        <v>61.236559139784944</v>
      </c>
      <c r="AM12" s="134">
        <f>IF(RIGHT(H12,2)="HT",$AT$4/$AT$5,0)</f>
        <v>250.27422240705468</v>
      </c>
      <c r="AN12" s="134">
        <f>$AG$8*(SUM($AL12:$AM12))*1000/8760</f>
        <v>1.1214388135686228</v>
      </c>
    </row>
    <row r="13" spans="1:47">
      <c r="A13" s="134" t="str">
        <f>A12</f>
        <v>INDGDHTGASN1</v>
      </c>
      <c r="G13" s="134" t="s">
        <v>352</v>
      </c>
      <c r="J13" s="134">
        <v>2030</v>
      </c>
      <c r="U13" s="134">
        <f>AC13</f>
        <v>2.4671653898509702E-2</v>
      </c>
      <c r="AC13" s="134">
        <f>'401.c Post comb - Cement kiln'!$D$12*IND_CCS!AN12</f>
        <v>2.4671653898509702E-2</v>
      </c>
    </row>
    <row r="14" spans="1:47">
      <c r="A14" s="134" t="str">
        <f>A13</f>
        <v>INDGDHTGASN1</v>
      </c>
      <c r="C14" s="134" t="s">
        <v>341</v>
      </c>
      <c r="I14" s="134" t="str">
        <f>'[10]IND tech'!$I$132</f>
        <v>INDGWH</v>
      </c>
      <c r="J14" s="134">
        <v>2030</v>
      </c>
      <c r="V14" s="134" cm="1">
        <f t="array" ref="V14">INDEX('[10]IND tech'!$L$6:$V$182,MATCH($A12&amp;$J12,'[10]IND tech'!$A$6:$A$182&amp;'[10]IND tech'!$J$6:$J$182,0),MATCH(V$5,'[10]IND tech'!$L$3:$V$3,0))</f>
        <v>0.36999999999999994</v>
      </c>
    </row>
    <row r="15" spans="1:47">
      <c r="A15" s="134" t="str">
        <f>A14</f>
        <v>INDGDHTGASN1</v>
      </c>
      <c r="I15" s="134" t="s">
        <v>777</v>
      </c>
      <c r="J15" s="134">
        <v>2030</v>
      </c>
      <c r="V15" s="134">
        <f>SUM(AL12:AM12)</f>
        <v>311.51078154683961</v>
      </c>
    </row>
    <row r="16" spans="1:47">
      <c r="A16" s="134" t="str">
        <f>IF(C16&gt;0,LEFT(C16,12),A15)</f>
        <v>INDGDHTGASN1</v>
      </c>
      <c r="F16" s="134" t="str">
        <f>F12</f>
        <v>INDNGA, INDBGA, INDSNG1, INDSNG2, INDLPG</v>
      </c>
      <c r="H16" s="134" t="str">
        <f>H12</f>
        <v>IGDHT</v>
      </c>
      <c r="J16" s="134">
        <v>2050</v>
      </c>
      <c r="L16" s="124">
        <f>Z16+AA16</f>
        <v>0.51517484452917273</v>
      </c>
      <c r="N16" s="295" cm="1">
        <f t="array" ref="N16">INDEX('[10]IND tech'!$L$6:$V$182,MATCH($A16&amp;$J16,'[10]IND tech'!$A$6:$A$182&amp;'[10]IND tech'!$J$6:$J$182,0),MATCH(N$5,'[10]IND tech'!$L$3:$V$3,0))+AD16</f>
        <v>15.345681320304015</v>
      </c>
      <c r="O16" s="295" cm="1">
        <f t="array" ref="O16">INDEX('[10]IND tech'!$L$6:$V$182,MATCH($A16&amp;$J16,'[10]IND tech'!$A$6:$A$182&amp;'[10]IND tech'!$J$6:$J$182,0),MATCH(O$5,'[10]IND tech'!$L$3:$V$3,0))+AE16</f>
        <v>0.46287634870002953</v>
      </c>
      <c r="P16" s="295" cm="1">
        <f t="array" ref="P16">INDEX('[10]IND tech'!$L$6:$V$182,MATCH($A16&amp;$J16,'[10]IND tech'!$A$6:$A$182&amp;'[10]IND tech'!$J$6:$J$182,0),MATCH(P$5,'[10]IND tech'!$L$3:$V$3,0))+AF16</f>
        <v>2.6568024444444447</v>
      </c>
      <c r="W16" s="134">
        <v>3</v>
      </c>
      <c r="Z16" s="124" cm="1">
        <f t="array" ref="Z16">INDEX('[10]IND tech'!$L$6:$V$182,MATCH($A16&amp;$J16,'[10]IND tech'!$A$6:$A$182&amp;'[10]IND tech'!$J$6:$J$182,0),MATCH(Z$5,'[10]IND tech'!$L$3:$V$3,0))</f>
        <v>0.94</v>
      </c>
      <c r="AA16" s="134">
        <f>-AB16/(1+AB16)</f>
        <v>-0.42482515547082722</v>
      </c>
      <c r="AB16" s="134">
        <f>'401.c Post comb - Cement kiln'!$F$11*IND_CCS!AN16</f>
        <v>0.73860176520511944</v>
      </c>
      <c r="AD16" s="134">
        <f>'401.c Post comb - Cement kiln'!$F$28*7.45*AN16</f>
        <v>15.007044956667652</v>
      </c>
      <c r="AE16" s="134">
        <f>'401.c Post comb - Cement kiln'!$F$34*IND_CCS!AN16*7.45</f>
        <v>0.45021134870002955</v>
      </c>
      <c r="AF16" s="134">
        <f>$AG$8*'401.c Post comb - Cement kiln'!$F$35*7.45</f>
        <v>0.58735800000000005</v>
      </c>
      <c r="AL16" s="134">
        <f>[10]Emissions!$F$11/Z16</f>
        <v>60.585106382978729</v>
      </c>
      <c r="AM16" s="134">
        <f>IF(RIGHT(H16,2)="HT",$AT$4/$AT$5,0)</f>
        <v>250.27422240705468</v>
      </c>
      <c r="AN16" s="134">
        <f>$AG$8*(SUM($AL16:$AM16))*1000/8760</f>
        <v>1.1190935836441203</v>
      </c>
    </row>
    <row r="17" spans="1:40">
      <c r="A17" s="134" t="str">
        <f>A16</f>
        <v>INDGDHTGASN1</v>
      </c>
      <c r="G17" s="134" t="s">
        <v>352</v>
      </c>
      <c r="J17" s="134">
        <v>2050</v>
      </c>
      <c r="U17" s="134">
        <f>AC17</f>
        <v>2.0143684505594162E-2</v>
      </c>
      <c r="AC17" s="134">
        <f>'401.c Post comb - Cement kiln'!$F$12*IND_CCS!AN16</f>
        <v>2.0143684505594162E-2</v>
      </c>
    </row>
    <row r="18" spans="1:40">
      <c r="A18" s="134" t="str">
        <f>A17</f>
        <v>INDGDHTGASN1</v>
      </c>
      <c r="C18" s="134" t="s">
        <v>341</v>
      </c>
      <c r="I18" s="134" t="str">
        <f>'[10]IND tech'!$I$132</f>
        <v>INDGWH</v>
      </c>
      <c r="J18" s="134">
        <v>2050</v>
      </c>
      <c r="V18" s="134" cm="1">
        <f t="array" ref="V18">INDEX('[10]IND tech'!$L$6:$V$182,MATCH($A16&amp;$J16,'[10]IND tech'!$A$6:$A$182&amp;'[10]IND tech'!$J$6:$J$182,0),MATCH(V$5,'[10]IND tech'!$L$3:$V$3,0))</f>
        <v>0.36000000000000004</v>
      </c>
    </row>
    <row r="19" spans="1:40">
      <c r="A19" s="134" t="str">
        <f>A18</f>
        <v>INDGDHTGASN1</v>
      </c>
      <c r="I19" s="134" t="s">
        <v>777</v>
      </c>
      <c r="J19" s="134">
        <v>2050</v>
      </c>
      <c r="V19" s="134">
        <f>SUM(AL16:AM16)</f>
        <v>310.85932879003343</v>
      </c>
    </row>
    <row r="20" spans="1:40">
      <c r="A20" s="134" t="str">
        <f>IF(C20&gt;0,LEFT(C20,12),A19)</f>
        <v>INDGDMTGASN1</v>
      </c>
      <c r="C20" s="134" t="str">
        <f>'[10]IND tech'!D135&amp;"CCS"</f>
        <v>INDGDMTGASN1CCS</v>
      </c>
      <c r="D20" s="134" t="str">
        <f>'[10]IND tech'!E135&amp;"CCS"</f>
        <v>Industrial heating technology Glass &amp; Concrete MT - Gas boiler (Steam) - new 1CCS</v>
      </c>
      <c r="E20" s="134" t="s">
        <v>683</v>
      </c>
      <c r="F20" s="134" t="str">
        <f>'[10]IND tech'!$G$132</f>
        <v>INDNGA, INDBGA, INDSNG1, INDSNG2, INDLPG</v>
      </c>
      <c r="H20" s="134" t="str">
        <f>"IGD"&amp;MID(C20,6,2)</f>
        <v>IGDMT</v>
      </c>
      <c r="J20" s="134">
        <v>2020</v>
      </c>
      <c r="K20" s="134">
        <v>2020</v>
      </c>
      <c r="L20" s="124">
        <f>Z20+AA20</f>
        <v>0.7634318560141542</v>
      </c>
      <c r="M20" s="134" cm="1">
        <f t="array" ref="M20">INDEX('[10]IND tech'!$L$6:$V$182,MATCH($A20&amp;$J20,'[10]IND tech'!$A$6:$A$182&amp;'[10]IND tech'!$J$6:$J$182,0),MATCH(M$5,'[10]IND tech'!$L$3:$V$3,0))</f>
        <v>25</v>
      </c>
      <c r="N20" s="295" cm="1">
        <f t="array" ref="N20">INDEX('[10]IND tech'!$L$6:$V$182,MATCH($A20&amp;$J20,'[10]IND tech'!$A$6:$A$182&amp;'[10]IND tech'!$J$6:$J$182,0),MATCH(N$5,'[10]IND tech'!$L$3:$V$3,0))+AD20</f>
        <v>5.3870125494071148</v>
      </c>
      <c r="O20" s="295" cm="1">
        <f t="array" ref="O20">INDEX('[10]IND tech'!$L$6:$V$182,MATCH($A20&amp;$J20,'[10]IND tech'!$A$6:$A$182&amp;'[10]IND tech'!$J$6:$J$182,0),MATCH(O$5,'[10]IND tech'!$L$3:$V$3,0))+AE20</f>
        <v>0.16431946739130435</v>
      </c>
      <c r="P20" s="295" cm="1">
        <f t="array" ref="P20">INDEX('[10]IND tech'!$L$6:$V$182,MATCH($A20&amp;$J20,'[10]IND tech'!$A$6:$A$182&amp;'[10]IND tech'!$J$6:$J$182,0),MATCH(P$5,'[10]IND tech'!$L$3:$V$3,0))+AF20</f>
        <v>2.8637468888888891</v>
      </c>
      <c r="Q20" s="134" cm="1">
        <f t="array" ref="Q20">INDEX('[10]IND tech'!$L$6:$V$182,MATCH($A20&amp;$J20,'[10]IND tech'!$A$6:$A$182&amp;'[10]IND tech'!$J$6:$J$182,0),MATCH(Q$5,'[10]IND tech'!$L$3:$V$3,0))</f>
        <v>3.1536000000000002E-2</v>
      </c>
      <c r="R20" s="134">
        <v>0.95</v>
      </c>
      <c r="S20" s="134" cm="1">
        <f t="array" ref="S20">INDEX('[10]IND tech'!$L$6:$V$182,MATCH($A20&amp;$J20,'[10]IND tech'!$A$6:$A$182&amp;'[10]IND tech'!$J$6:$J$182,0),MATCH(S$5,'[10]IND tech'!$L$3:$V$3,0))</f>
        <v>0.97</v>
      </c>
      <c r="W20" s="134">
        <v>3</v>
      </c>
      <c r="Z20" s="124" cm="1">
        <f t="array" ref="Z20">INDEX('[10]IND tech'!$L$6:$V$182,MATCH($A20&amp;$J20,'[10]IND tech'!$A$6:$A$182&amp;'[10]IND tech'!$J$6:$J$182,0),MATCH(Z$5,'[10]IND tech'!$L$3:$V$3,0))</f>
        <v>0.92</v>
      </c>
      <c r="AA20" s="134">
        <f>-AB20/(1+AB20)</f>
        <v>-0.1565681439858459</v>
      </c>
      <c r="AB20" s="134">
        <f>'401.c Post comb - Cement kiln'!$B$11*IND_CCS!AN20</f>
        <v>0.18563223913043478</v>
      </c>
      <c r="AD20" s="134">
        <f>'401.c Post comb - Cement kiln'!$B$28*7.45*AN20</f>
        <v>4.9806489130434786</v>
      </c>
      <c r="AE20" s="134">
        <f>'401.c Post comb - Cement kiln'!$B$34*IND_CCS!AN20*7.45</f>
        <v>0.14941946739130435</v>
      </c>
      <c r="AF20" s="134">
        <f>$AG$8*'401.c Post comb - Cement kiln'!$B$35*7.45</f>
        <v>0.58735800000000005</v>
      </c>
      <c r="AG20" s="134">
        <f>8760*3.6/1000000</f>
        <v>3.1536000000000002E-2</v>
      </c>
      <c r="AL20" s="134">
        <f>[10]Emissions!$F$11/Z20</f>
        <v>61.902173913043477</v>
      </c>
      <c r="AM20" s="134">
        <f>IF(RIGHT(H20,2)="HT",$AT$4/$AT$5,0)</f>
        <v>0</v>
      </c>
      <c r="AN20" s="134">
        <f>$AG$8*(SUM($AL20:$AM20))*1000/8760</f>
        <v>0.22284782608695652</v>
      </c>
    </row>
    <row r="21" spans="1:40">
      <c r="A21" s="134" t="str">
        <f>A20</f>
        <v>INDGDMTGASN1</v>
      </c>
      <c r="G21" s="134" t="s">
        <v>352</v>
      </c>
      <c r="J21" s="134">
        <v>2020</v>
      </c>
      <c r="U21" s="134">
        <f>AC21</f>
        <v>5.5711956521739131E-3</v>
      </c>
      <c r="AC21" s="134">
        <f>'401.c Post comb - Cement kiln'!$B$12*IND_CCS!AN20</f>
        <v>5.5711956521739131E-3</v>
      </c>
    </row>
    <row r="22" spans="1:40">
      <c r="A22" s="134" t="str">
        <f>A21</f>
        <v>INDGDMTGASN1</v>
      </c>
      <c r="C22" s="134" t="s">
        <v>341</v>
      </c>
      <c r="I22" s="134" t="str">
        <f>'[10]IND tech'!$I$132</f>
        <v>INDGWH</v>
      </c>
      <c r="J22" s="134">
        <v>2020</v>
      </c>
      <c r="V22" s="134" cm="1">
        <f t="array" ref="V22">INDEX('[10]IND tech'!$L$6:$V$182,MATCH($A20&amp;$J20,'[10]IND tech'!$A$6:$A$182&amp;'[10]IND tech'!$J$6:$J$182,0),MATCH(V$5,'[10]IND tech'!$L$3:$V$3,0))</f>
        <v>0.27999999999999997</v>
      </c>
    </row>
    <row r="23" spans="1:40">
      <c r="A23" s="134" t="str">
        <f>A22</f>
        <v>INDGDMTGASN1</v>
      </c>
      <c r="I23" s="134" t="s">
        <v>777</v>
      </c>
      <c r="J23" s="134">
        <v>2020</v>
      </c>
      <c r="V23" s="134">
        <f>SUM(AL20:AM20)</f>
        <v>61.902173913043477</v>
      </c>
    </row>
    <row r="24" spans="1:40">
      <c r="A24" s="134" t="str">
        <f>IF(C24&gt;0,LEFT(C24,12),A23)</f>
        <v>INDGDMTGASN1</v>
      </c>
      <c r="F24" s="134" t="str">
        <f>F20</f>
        <v>INDNGA, INDBGA, INDSNG1, INDSNG2, INDLPG</v>
      </c>
      <c r="H24" s="134" t="str">
        <f>H20</f>
        <v>IGDMT</v>
      </c>
      <c r="J24" s="134">
        <v>2030</v>
      </c>
      <c r="L24" s="124">
        <f>Z24+AA24</f>
        <v>0.79301742070261871</v>
      </c>
      <c r="N24" s="295" cm="1">
        <f t="array" ref="N24">INDEX('[10]IND tech'!$L$6:$V$182,MATCH($A24&amp;$J24,'[10]IND tech'!$A$6:$A$182&amp;'[10]IND tech'!$J$6:$J$182,0),MATCH(N$5,'[10]IND tech'!$L$3:$V$3,0))+AD24</f>
        <v>4.6087841055718481</v>
      </c>
      <c r="O24" s="295" cm="1">
        <f t="array" ref="O24">INDEX('[10]IND tech'!$L$6:$V$182,MATCH($A24&amp;$J24,'[10]IND tech'!$A$6:$A$182&amp;'[10]IND tech'!$J$6:$J$182,0),MATCH(O$5,'[10]IND tech'!$L$3:$V$3,0))+AE24</f>
        <v>0.14225943225806453</v>
      </c>
      <c r="P24" s="295" cm="1">
        <f t="array" ref="P24">INDEX('[10]IND tech'!$L$6:$V$182,MATCH($A24&amp;$J24,'[10]IND tech'!$A$6:$A$182&amp;'[10]IND tech'!$J$6:$J$182,0),MATCH(P$5,'[10]IND tech'!$L$3:$V$3,0))+AF24</f>
        <v>2.6568024444444447</v>
      </c>
      <c r="W24" s="134">
        <v>3</v>
      </c>
      <c r="Z24" s="124" cm="1">
        <f t="array" ref="Z24">INDEX('[10]IND tech'!$L$6:$V$182,MATCH($A24&amp;$J24,'[10]IND tech'!$A$6:$A$182&amp;'[10]IND tech'!$J$6:$J$182,0),MATCH(Z$5,'[10]IND tech'!$L$3:$V$3,0))</f>
        <v>0.93</v>
      </c>
      <c r="AA24" s="134">
        <f>-AB24/(1+AB24)</f>
        <v>-0.13698257929738131</v>
      </c>
      <c r="AB24" s="134">
        <f>'401.c Post comb - Cement kiln'!$D$11*IND_CCS!AN24</f>
        <v>0.15872516129032258</v>
      </c>
      <c r="AD24" s="134">
        <f>'401.c Post comb - Cement kiln'!$D$28*7.45*AN24</f>
        <v>4.2701477419354843</v>
      </c>
      <c r="AE24" s="134">
        <f>'401.c Post comb - Cement kiln'!$D$34*IND_CCS!AN24*7.45</f>
        <v>0.12810443225806453</v>
      </c>
      <c r="AF24" s="134">
        <f>$AG$8*'401.c Post comb - Cement kiln'!$D$35*7.45</f>
        <v>0.58735800000000005</v>
      </c>
      <c r="AL24" s="134">
        <f>[10]Emissions!$F$11/Z24</f>
        <v>61.236559139784944</v>
      </c>
      <c r="AM24" s="134">
        <f>IF(RIGHT(H24,2)="HT",$AT$4/$AT$5,0)</f>
        <v>0</v>
      </c>
      <c r="AN24" s="134">
        <f>$AG$8*(SUM($AL24:$AM24))*1000/8760</f>
        <v>0.22045161290322582</v>
      </c>
    </row>
    <row r="25" spans="1:40">
      <c r="A25" s="134" t="str">
        <f>A24</f>
        <v>INDGDMTGASN1</v>
      </c>
      <c r="G25" s="134" t="s">
        <v>352</v>
      </c>
      <c r="J25" s="134">
        <v>2030</v>
      </c>
      <c r="U25" s="134">
        <f>AC25</f>
        <v>4.8499354838709681E-3</v>
      </c>
      <c r="AC25" s="134">
        <f>'401.c Post comb - Cement kiln'!$D$12*IND_CCS!AN24</f>
        <v>4.8499354838709681E-3</v>
      </c>
    </row>
    <row r="26" spans="1:40">
      <c r="A26" s="134" t="str">
        <f>A25</f>
        <v>INDGDMTGASN1</v>
      </c>
      <c r="C26" s="134" t="s">
        <v>341</v>
      </c>
      <c r="I26" s="134" t="str">
        <f>'[10]IND tech'!$I$132</f>
        <v>INDGWH</v>
      </c>
      <c r="J26" s="134">
        <v>2030</v>
      </c>
      <c r="V26" s="134" cm="1">
        <f t="array" ref="V26">INDEX('[10]IND tech'!$L$6:$V$182,MATCH($A24&amp;$J24,'[10]IND tech'!$A$6:$A$182&amp;'[10]IND tech'!$J$6:$J$182,0),MATCH(V$5,'[10]IND tech'!$L$3:$V$3,0))</f>
        <v>0.26999999999999996</v>
      </c>
    </row>
    <row r="27" spans="1:40">
      <c r="A27" s="134" t="str">
        <f>A26</f>
        <v>INDGDMTGASN1</v>
      </c>
      <c r="I27" s="134" t="s">
        <v>777</v>
      </c>
      <c r="J27" s="134">
        <v>2030</v>
      </c>
      <c r="V27" s="134">
        <f>SUM(AL24:AM24)</f>
        <v>61.236559139784944</v>
      </c>
    </row>
    <row r="28" spans="1:40">
      <c r="A28" s="134" t="str">
        <f>IF(C28&gt;0,LEFT(C28,12),A27)</f>
        <v>INDGDMTGASN1</v>
      </c>
      <c r="F28" s="134" t="str">
        <f>F24</f>
        <v>INDNGA, INDBGA, INDSNG1, INDSNG2, INDLPG</v>
      </c>
      <c r="H28" s="134" t="str">
        <f>H24</f>
        <v>IGDMT</v>
      </c>
      <c r="J28" s="134">
        <v>2050</v>
      </c>
      <c r="L28" s="124">
        <f>Z28+AA28</f>
        <v>0.81416391801012011</v>
      </c>
      <c r="N28" s="295" cm="1">
        <f t="array" ref="N28">INDEX('[10]IND tech'!$L$6:$V$182,MATCH($A28&amp;$J28,'[10]IND tech'!$A$6:$A$182&amp;'[10]IND tech'!$J$6:$J$182,0),MATCH(N$5,'[10]IND tech'!$L$3:$V$3,0))+AD28</f>
        <v>3.2634429593810448</v>
      </c>
      <c r="O28" s="295" cm="1">
        <f t="array" ref="O28">INDEX('[10]IND tech'!$L$6:$V$182,MATCH($A28&amp;$J28,'[10]IND tech'!$A$6:$A$182&amp;'[10]IND tech'!$J$6:$J$182,0),MATCH(O$5,'[10]IND tech'!$L$3:$V$3,0))+AE28</f>
        <v>0.10040919787234043</v>
      </c>
      <c r="P28" s="295" cm="1">
        <f t="array" ref="P28">INDEX('[10]IND tech'!$L$6:$V$182,MATCH($A28&amp;$J28,'[10]IND tech'!$A$6:$A$182&amp;'[10]IND tech'!$J$6:$J$182,0),MATCH(P$5,'[10]IND tech'!$L$3:$V$3,0))+AF28</f>
        <v>2.6568024444444447</v>
      </c>
      <c r="W28" s="134">
        <v>3</v>
      </c>
      <c r="Z28" s="124" cm="1">
        <f t="array" ref="Z28">INDEX('[10]IND tech'!$L$6:$V$182,MATCH($A28&amp;$J28,'[10]IND tech'!$A$6:$A$182&amp;'[10]IND tech'!$J$6:$J$182,0),MATCH(Z$5,'[10]IND tech'!$L$3:$V$3,0))</f>
        <v>0.94</v>
      </c>
      <c r="AA28" s="134">
        <f>-AB28/(1+AB28)</f>
        <v>-0.12583608198987978</v>
      </c>
      <c r="AB28" s="134">
        <f>'401.c Post comb - Cement kiln'!$F$11*IND_CCS!AN28</f>
        <v>0.14395021276595746</v>
      </c>
      <c r="AD28" s="134">
        <f>'401.c Post comb - Cement kiln'!$F$28*7.45*AN28</f>
        <v>2.9248065957446809</v>
      </c>
      <c r="AE28" s="134">
        <f>'401.c Post comb - Cement kiln'!$F$34*IND_CCS!AN28*7.45</f>
        <v>8.7744197872340432E-2</v>
      </c>
      <c r="AF28" s="134">
        <f>$AG$8*'401.c Post comb - Cement kiln'!$F$35*7.45</f>
        <v>0.58735800000000005</v>
      </c>
      <c r="AL28" s="134">
        <f>[10]Emissions!$F$11/Z28</f>
        <v>60.585106382978729</v>
      </c>
      <c r="AM28" s="134">
        <f>IF(RIGHT(H28,2)="HT",$AT$4/$AT$5,0)</f>
        <v>0</v>
      </c>
      <c r="AN28" s="134">
        <f>$AG$8*(SUM($AL28:$AM28))*1000/8760</f>
        <v>0.21810638297872342</v>
      </c>
    </row>
    <row r="29" spans="1:40">
      <c r="A29" s="134" t="str">
        <f>A28</f>
        <v>INDGDMTGASN1</v>
      </c>
      <c r="G29" s="134" t="s">
        <v>352</v>
      </c>
      <c r="J29" s="134">
        <v>2050</v>
      </c>
      <c r="U29" s="134">
        <f>AC29</f>
        <v>3.9259148936170215E-3</v>
      </c>
      <c r="AC29" s="134">
        <f>'401.c Post comb - Cement kiln'!$F$12*IND_CCS!AN28</f>
        <v>3.9259148936170215E-3</v>
      </c>
    </row>
    <row r="30" spans="1:40">
      <c r="A30" s="134" t="str">
        <f>A29</f>
        <v>INDGDMTGASN1</v>
      </c>
      <c r="C30" s="134" t="s">
        <v>341</v>
      </c>
      <c r="I30" s="134" t="str">
        <f>'[10]IND tech'!$I$132</f>
        <v>INDGWH</v>
      </c>
      <c r="J30" s="134">
        <v>2050</v>
      </c>
      <c r="V30" s="134" cm="1">
        <f t="array" ref="V30">INDEX('[10]IND tech'!$L$6:$V$182,MATCH($A28&amp;$J28,'[10]IND tech'!$A$6:$A$182&amp;'[10]IND tech'!$J$6:$J$182,0),MATCH(V$5,'[10]IND tech'!$L$3:$V$3,0))</f>
        <v>0.26000000000000006</v>
      </c>
    </row>
    <row r="31" spans="1:40">
      <c r="A31" s="134" t="str">
        <f>A30</f>
        <v>INDGDMTGASN1</v>
      </c>
      <c r="I31" s="134" t="s">
        <v>777</v>
      </c>
      <c r="J31" s="134">
        <v>2050</v>
      </c>
      <c r="V31" s="134">
        <f>SUM(AL28:AM28)</f>
        <v>60.585106382978729</v>
      </c>
    </row>
    <row r="32" spans="1:40">
      <c r="A32" s="134" t="str">
        <f>IF(C32&gt;0,LEFT(C32,12),A31)</f>
        <v>INDGDRHGASN1</v>
      </c>
      <c r="C32" s="134" t="str">
        <f>'[10]IND tech'!D138&amp;"CCS"</f>
        <v>INDGDRHGASN1CCS</v>
      </c>
      <c r="D32" s="134" t="str">
        <f>'[10]IND tech'!E138&amp;"CCS"</f>
        <v>Industrial heating technology Glass &amp; Concrete RH - Gas boiler (Steam) - new 1CCS</v>
      </c>
      <c r="E32" s="134" t="s">
        <v>683</v>
      </c>
      <c r="F32" s="134" t="str">
        <f>'[10]IND tech'!$G$132</f>
        <v>INDNGA, INDBGA, INDSNG1, INDSNG2, INDLPG</v>
      </c>
      <c r="H32" s="134" t="str">
        <f>"IGD"&amp;MID(C32,6,2)</f>
        <v>IGDRH</v>
      </c>
      <c r="J32" s="134">
        <v>2020</v>
      </c>
      <c r="K32" s="134">
        <v>2020</v>
      </c>
      <c r="L32" s="124">
        <f>Z32+AA32</f>
        <v>0.7634318560141542</v>
      </c>
      <c r="M32" s="134" cm="1">
        <f t="array" ref="M32">INDEX('[10]IND tech'!$L$6:$V$182,MATCH($A32&amp;$J32,'[10]IND tech'!$A$6:$A$182&amp;'[10]IND tech'!$J$6:$J$182,0),MATCH(M$5,'[10]IND tech'!$L$3:$V$3,0))</f>
        <v>25</v>
      </c>
      <c r="N32" s="295" cm="1">
        <f t="array" ref="N32">INDEX('[10]IND tech'!$L$6:$V$182,MATCH($A32&amp;$J32,'[10]IND tech'!$A$6:$A$182&amp;'[10]IND tech'!$J$6:$J$182,0),MATCH(N$5,'[10]IND tech'!$L$3:$V$3,0))+AD32</f>
        <v>5.3870125494071148</v>
      </c>
      <c r="O32" s="295" cm="1">
        <f t="array" ref="O32">INDEX('[10]IND tech'!$L$6:$V$182,MATCH($A32&amp;$J32,'[10]IND tech'!$A$6:$A$182&amp;'[10]IND tech'!$J$6:$J$182,0),MATCH(O$5,'[10]IND tech'!$L$3:$V$3,0))+AE32</f>
        <v>0.16431946739130435</v>
      </c>
      <c r="P32" s="295" cm="1">
        <f t="array" ref="P32">INDEX('[10]IND tech'!$L$6:$V$182,MATCH($A32&amp;$J32,'[10]IND tech'!$A$6:$A$182&amp;'[10]IND tech'!$J$6:$J$182,0),MATCH(P$5,'[10]IND tech'!$L$3:$V$3,0))+AF32</f>
        <v>2.8637468888888891</v>
      </c>
      <c r="Q32" s="134" cm="1">
        <f t="array" ref="Q32">INDEX('[10]IND tech'!$L$6:$V$182,MATCH($A32&amp;$J32,'[10]IND tech'!$A$6:$A$182&amp;'[10]IND tech'!$J$6:$J$182,0),MATCH(Q$5,'[10]IND tech'!$L$3:$V$3,0))</f>
        <v>3.1536000000000002E-2</v>
      </c>
      <c r="R32" s="134">
        <v>0.95</v>
      </c>
      <c r="S32" s="134" cm="1">
        <f t="array" ref="S32">INDEX('[10]IND tech'!$L$6:$V$182,MATCH($A32&amp;$J32,'[10]IND tech'!$A$6:$A$182&amp;'[10]IND tech'!$J$6:$J$182,0),MATCH(S$5,'[10]IND tech'!$L$3:$V$3,0))</f>
        <v>1</v>
      </c>
      <c r="W32" s="134">
        <v>3</v>
      </c>
      <c r="Z32" s="124" cm="1">
        <f t="array" ref="Z32">INDEX('[10]IND tech'!$L$6:$V$182,MATCH($A32&amp;$J32,'[10]IND tech'!$A$6:$A$182&amp;'[10]IND tech'!$J$6:$J$182,0),MATCH(Z$5,'[10]IND tech'!$L$3:$V$3,0))</f>
        <v>0.92</v>
      </c>
      <c r="AA32" s="134">
        <f>-AB32/(1+AB32)</f>
        <v>-0.1565681439858459</v>
      </c>
      <c r="AB32" s="134">
        <f>'401.c Post comb - Cement kiln'!$B$11*IND_CCS!AN32</f>
        <v>0.18563223913043478</v>
      </c>
      <c r="AD32" s="134">
        <f>'401.c Post comb - Cement kiln'!$B$28*7.45*AN32</f>
        <v>4.9806489130434786</v>
      </c>
      <c r="AE32" s="134">
        <f>'401.c Post comb - Cement kiln'!$B$34*IND_CCS!AN32*7.45</f>
        <v>0.14941946739130435</v>
      </c>
      <c r="AF32" s="134">
        <f>$AG$8*'401.c Post comb - Cement kiln'!$B$35*7.45</f>
        <v>0.58735800000000005</v>
      </c>
      <c r="AG32" s="134">
        <f>8760*3.6/1000000</f>
        <v>3.1536000000000002E-2</v>
      </c>
      <c r="AL32" s="134">
        <f>[10]Emissions!$F$11/Z32</f>
        <v>61.902173913043477</v>
      </c>
      <c r="AM32" s="134">
        <f>IF(RIGHT(H32,2)="HT",$AT$4/$AT$5,0)</f>
        <v>0</v>
      </c>
      <c r="AN32" s="134">
        <f>$AG$8*(SUM($AL32:$AM32))*1000/8760</f>
        <v>0.22284782608695652</v>
      </c>
    </row>
    <row r="33" spans="1:40">
      <c r="A33" s="134" t="str">
        <f>A32</f>
        <v>INDGDRHGASN1</v>
      </c>
      <c r="G33" s="134" t="s">
        <v>352</v>
      </c>
      <c r="J33" s="134">
        <v>2020</v>
      </c>
      <c r="U33" s="134">
        <f>AC33</f>
        <v>5.5711956521739131E-3</v>
      </c>
      <c r="AC33" s="134">
        <f>'401.c Post comb - Cement kiln'!$B$12*IND_CCS!AN32</f>
        <v>5.5711956521739131E-3</v>
      </c>
    </row>
    <row r="34" spans="1:40">
      <c r="A34" s="134" t="str">
        <f>A33</f>
        <v>INDGDRHGASN1</v>
      </c>
      <c r="C34" s="134" t="s">
        <v>341</v>
      </c>
      <c r="I34" s="134" t="str">
        <f>'[10]IND tech'!$I$132</f>
        <v>INDGWH</v>
      </c>
      <c r="J34" s="134">
        <v>2020</v>
      </c>
      <c r="V34" s="134" cm="1">
        <f t="array" ref="V34">INDEX('[10]IND tech'!$L$6:$V$182,MATCH($A32&amp;$J32,'[10]IND tech'!$A$6:$A$182&amp;'[10]IND tech'!$J$6:$J$182,0),MATCH(V$5,'[10]IND tech'!$L$3:$V$3,0))</f>
        <v>7.999999999999996E-2</v>
      </c>
    </row>
    <row r="35" spans="1:40">
      <c r="A35" s="134" t="str">
        <f>A34</f>
        <v>INDGDRHGASN1</v>
      </c>
      <c r="I35" s="134" t="s">
        <v>777</v>
      </c>
      <c r="J35" s="134">
        <v>2020</v>
      </c>
      <c r="V35" s="134">
        <f>SUM(AL32:AM32)</f>
        <v>61.902173913043477</v>
      </c>
    </row>
    <row r="36" spans="1:40">
      <c r="A36" s="134" t="str">
        <f>IF(C36&gt;0,LEFT(C36,12),A35)</f>
        <v>INDGDRHGASN1</v>
      </c>
      <c r="F36" s="134" t="str">
        <f>F32</f>
        <v>INDNGA, INDBGA, INDSNG1, INDSNG2, INDLPG</v>
      </c>
      <c r="H36" s="134" t="str">
        <f>H32</f>
        <v>IGDRH</v>
      </c>
      <c r="J36" s="134">
        <v>2030</v>
      </c>
      <c r="L36" s="124">
        <f>Z36+AA36</f>
        <v>0.79301742070261871</v>
      </c>
      <c r="N36" s="295" cm="1">
        <f t="array" ref="N36">INDEX('[10]IND tech'!$L$6:$V$182,MATCH($A36&amp;$J36,'[10]IND tech'!$A$6:$A$182&amp;'[10]IND tech'!$J$6:$J$182,0),MATCH(N$5,'[10]IND tech'!$L$3:$V$3,0))+AD36</f>
        <v>4.6087841055718481</v>
      </c>
      <c r="O36" s="295" cm="1">
        <f t="array" ref="O36">INDEX('[10]IND tech'!$L$6:$V$182,MATCH($A36&amp;$J36,'[10]IND tech'!$A$6:$A$182&amp;'[10]IND tech'!$J$6:$J$182,0),MATCH(O$5,'[10]IND tech'!$L$3:$V$3,0))+AE36</f>
        <v>0.14225943225806453</v>
      </c>
      <c r="P36" s="295" cm="1">
        <f t="array" ref="P36">INDEX('[10]IND tech'!$L$6:$V$182,MATCH($A36&amp;$J36,'[10]IND tech'!$A$6:$A$182&amp;'[10]IND tech'!$J$6:$J$182,0),MATCH(P$5,'[10]IND tech'!$L$3:$V$3,0))+AF36</f>
        <v>2.6568024444444447</v>
      </c>
      <c r="W36" s="134">
        <v>3</v>
      </c>
      <c r="Z36" s="124" cm="1">
        <f t="array" ref="Z36">INDEX('[10]IND tech'!$L$6:$V$182,MATCH($A36&amp;$J36,'[10]IND tech'!$A$6:$A$182&amp;'[10]IND tech'!$J$6:$J$182,0),MATCH(Z$5,'[10]IND tech'!$L$3:$V$3,0))</f>
        <v>0.93</v>
      </c>
      <c r="AA36" s="134">
        <f>-AB36/(1+AB36)</f>
        <v>-0.13698257929738131</v>
      </c>
      <c r="AB36" s="134">
        <f>'401.c Post comb - Cement kiln'!$D$11*IND_CCS!AN36</f>
        <v>0.15872516129032258</v>
      </c>
      <c r="AD36" s="134">
        <f>'401.c Post comb - Cement kiln'!$D$28*7.45*AN36</f>
        <v>4.2701477419354843</v>
      </c>
      <c r="AE36" s="134">
        <f>'401.c Post comb - Cement kiln'!$D$34*IND_CCS!AN36*7.45</f>
        <v>0.12810443225806453</v>
      </c>
      <c r="AF36" s="134">
        <f>$AG$8*'401.c Post comb - Cement kiln'!$D$35*7.45</f>
        <v>0.58735800000000005</v>
      </c>
      <c r="AL36" s="134">
        <f>[10]Emissions!$F$11/Z36</f>
        <v>61.236559139784944</v>
      </c>
      <c r="AM36" s="134">
        <f>IF(RIGHT(H36,2)="HT",$AT$4/$AT$5,0)</f>
        <v>0</v>
      </c>
      <c r="AN36" s="134">
        <f>$AG$8*(SUM($AL36:$AM36))*1000/8760</f>
        <v>0.22045161290322582</v>
      </c>
    </row>
    <row r="37" spans="1:40">
      <c r="A37" s="134" t="str">
        <f>A36</f>
        <v>INDGDRHGASN1</v>
      </c>
      <c r="G37" s="134" t="s">
        <v>352</v>
      </c>
      <c r="J37" s="134">
        <v>2030</v>
      </c>
      <c r="U37" s="134">
        <f>AC37</f>
        <v>4.8499354838709681E-3</v>
      </c>
      <c r="AC37" s="134">
        <f>'401.c Post comb - Cement kiln'!$D$12*IND_CCS!AN36</f>
        <v>4.8499354838709681E-3</v>
      </c>
    </row>
    <row r="38" spans="1:40">
      <c r="A38" s="134" t="str">
        <f>A37</f>
        <v>INDGDRHGASN1</v>
      </c>
      <c r="C38" s="134" t="s">
        <v>341</v>
      </c>
      <c r="I38" s="134" t="str">
        <f>'[10]IND tech'!$I$132</f>
        <v>INDGWH</v>
      </c>
      <c r="J38" s="134">
        <v>2030</v>
      </c>
      <c r="V38" s="134" cm="1">
        <f t="array" ref="V38">INDEX('[10]IND tech'!$L$6:$V$182,MATCH($A36&amp;$J36,'[10]IND tech'!$A$6:$A$182&amp;'[10]IND tech'!$J$6:$J$182,0),MATCH(V$5,'[10]IND tech'!$L$3:$V$3,0))</f>
        <v>6.9999999999999951E-2</v>
      </c>
    </row>
    <row r="39" spans="1:40">
      <c r="A39" s="134" t="str">
        <f>A38</f>
        <v>INDGDRHGASN1</v>
      </c>
      <c r="I39" s="134" t="s">
        <v>777</v>
      </c>
      <c r="J39" s="134">
        <v>2030</v>
      </c>
      <c r="V39" s="134">
        <f>SUM(AL36:AM36)</f>
        <v>61.236559139784944</v>
      </c>
    </row>
    <row r="40" spans="1:40">
      <c r="A40" s="134" t="str">
        <f>IF(C40&gt;0,LEFT(C40,12),A39)</f>
        <v>INDGDRHGASN1</v>
      </c>
      <c r="F40" s="134" t="str">
        <f>F36</f>
        <v>INDNGA, INDBGA, INDSNG1, INDSNG2, INDLPG</v>
      </c>
      <c r="H40" s="134" t="str">
        <f>H36</f>
        <v>IGDRH</v>
      </c>
      <c r="J40" s="134">
        <v>2050</v>
      </c>
      <c r="L40" s="124">
        <f>Z40+AA40</f>
        <v>0.81416391801012011</v>
      </c>
      <c r="N40" s="295" cm="1">
        <f t="array" ref="N40">INDEX('[10]IND tech'!$L$6:$V$182,MATCH($A40&amp;$J40,'[10]IND tech'!$A$6:$A$182&amp;'[10]IND tech'!$J$6:$J$182,0),MATCH(N$5,'[10]IND tech'!$L$3:$V$3,0))+AD40</f>
        <v>3.2634429593810448</v>
      </c>
      <c r="O40" s="295" cm="1">
        <f t="array" ref="O40">INDEX('[10]IND tech'!$L$6:$V$182,MATCH($A40&amp;$J40,'[10]IND tech'!$A$6:$A$182&amp;'[10]IND tech'!$J$6:$J$182,0),MATCH(O$5,'[10]IND tech'!$L$3:$V$3,0))+AE40</f>
        <v>0.10040919787234043</v>
      </c>
      <c r="P40" s="295" cm="1">
        <f t="array" ref="P40">INDEX('[10]IND tech'!$L$6:$V$182,MATCH($A40&amp;$J40,'[10]IND tech'!$A$6:$A$182&amp;'[10]IND tech'!$J$6:$J$182,0),MATCH(P$5,'[10]IND tech'!$L$3:$V$3,0))+AF40</f>
        <v>2.6568024444444447</v>
      </c>
      <c r="W40" s="134">
        <v>3</v>
      </c>
      <c r="Z40" s="124" cm="1">
        <f t="array" ref="Z40">INDEX('[10]IND tech'!$L$6:$V$182,MATCH($A40&amp;$J40,'[10]IND tech'!$A$6:$A$182&amp;'[10]IND tech'!$J$6:$J$182,0),MATCH(Z$5,'[10]IND tech'!$L$3:$V$3,0))</f>
        <v>0.94</v>
      </c>
      <c r="AA40" s="134">
        <f>-AB40/(1+AB40)</f>
        <v>-0.12583608198987978</v>
      </c>
      <c r="AB40" s="134">
        <f>'401.c Post comb - Cement kiln'!$F$11*IND_CCS!AN40</f>
        <v>0.14395021276595746</v>
      </c>
      <c r="AD40" s="134">
        <f>'401.c Post comb - Cement kiln'!$F$28*7.45*AN40</f>
        <v>2.9248065957446809</v>
      </c>
      <c r="AE40" s="134">
        <f>'401.c Post comb - Cement kiln'!$F$34*IND_CCS!AN40*7.45</f>
        <v>8.7744197872340432E-2</v>
      </c>
      <c r="AF40" s="134">
        <f>$AG$8*'401.c Post comb - Cement kiln'!$F$35*7.45</f>
        <v>0.58735800000000005</v>
      </c>
      <c r="AL40" s="134">
        <f>[10]Emissions!$F$11/Z40</f>
        <v>60.585106382978729</v>
      </c>
      <c r="AM40" s="134">
        <f>IF(RIGHT(H40,2)="HT",$AT$4/$AT$5,0)</f>
        <v>0</v>
      </c>
      <c r="AN40" s="134">
        <f>$AG$8*(SUM($AL40:$AM40))*1000/8760</f>
        <v>0.21810638297872342</v>
      </c>
    </row>
    <row r="41" spans="1:40">
      <c r="A41" s="134" t="str">
        <f>A40</f>
        <v>INDGDRHGASN1</v>
      </c>
      <c r="G41" s="134" t="s">
        <v>352</v>
      </c>
      <c r="J41" s="134">
        <v>2050</v>
      </c>
      <c r="U41" s="134">
        <f>AC41</f>
        <v>3.9259148936170215E-3</v>
      </c>
      <c r="AC41" s="134">
        <f>'401.c Post comb - Cement kiln'!$F$12*IND_CCS!AN40</f>
        <v>3.9259148936170215E-3</v>
      </c>
    </row>
    <row r="42" spans="1:40">
      <c r="A42" s="134" t="str">
        <f>A41</f>
        <v>INDGDRHGASN1</v>
      </c>
      <c r="C42" s="134" t="s">
        <v>341</v>
      </c>
      <c r="I42" s="134" t="str">
        <f>'[10]IND tech'!$I$132</f>
        <v>INDGWH</v>
      </c>
      <c r="J42" s="134">
        <v>2050</v>
      </c>
      <c r="V42" s="134" cm="1">
        <f t="array" ref="V42">INDEX('[10]IND tech'!$L$6:$V$182,MATCH($A40&amp;$J40,'[10]IND tech'!$A$6:$A$182&amp;'[10]IND tech'!$J$6:$J$182,0),MATCH(V$5,'[10]IND tech'!$L$3:$V$3,0))</f>
        <v>6.0000000000000053E-2</v>
      </c>
    </row>
    <row r="43" spans="1:40">
      <c r="A43" s="134" t="str">
        <f>A42</f>
        <v>INDGDRHGASN1</v>
      </c>
      <c r="I43" s="134" t="s">
        <v>777</v>
      </c>
      <c r="J43" s="134">
        <v>2050</v>
      </c>
      <c r="V43" s="134">
        <f>SUM(AL40:AM40)</f>
        <v>60.585106382978729</v>
      </c>
    </row>
    <row r="44" spans="1:40">
      <c r="A44" s="134" t="str">
        <f>IF(C44&gt;0,LEFT(C44,12),A43)</f>
        <v>INDGDMTGASN2</v>
      </c>
      <c r="C44" s="134" t="str">
        <f>'[10]IND tech'!D141&amp;"CCS"</f>
        <v>INDGDMTGASN2CCS</v>
      </c>
      <c r="D44" s="134" t="str">
        <f>'[10]IND tech'!E141&amp;"CCS"</f>
        <v>Industrial heating technology Glass &amp; Concrete MT - Gas boiler (Steam - condensing) - new 2CCS</v>
      </c>
      <c r="E44" s="134" t="s">
        <v>683</v>
      </c>
      <c r="F44" s="134" t="str">
        <f>'[10]IND tech'!$G$132</f>
        <v>INDNGA, INDBGA, INDSNG1, INDSNG2, INDLPG</v>
      </c>
      <c r="H44" s="134" t="str">
        <f>"IGD"&amp;MID(C44,6,2)</f>
        <v>IGDMT</v>
      </c>
      <c r="J44" s="134">
        <v>2020</v>
      </c>
      <c r="K44" s="134">
        <v>2020</v>
      </c>
      <c r="L44" s="124">
        <f>Z44+AA44</f>
        <v>0.86536558892691473</v>
      </c>
      <c r="M44" s="134" cm="1">
        <f t="array" ref="M44">INDEX('[10]IND tech'!$L$6:$V$182,MATCH($A44&amp;$J44,'[10]IND tech'!$A$6:$A$182&amp;'[10]IND tech'!$J$6:$J$182,0),MATCH(M$5,'[10]IND tech'!$L$3:$V$3,0))</f>
        <v>25</v>
      </c>
      <c r="N44" s="295" cm="1">
        <f t="array" ref="N44">INDEX('[10]IND tech'!$L$6:$V$182,MATCH($A44&amp;$J44,'[10]IND tech'!$A$6:$A$182&amp;'[10]IND tech'!$J$6:$J$182,0),MATCH(N$5,'[10]IND tech'!$L$3:$V$3,0))+AD44</f>
        <v>4.9838287128712881</v>
      </c>
      <c r="O44" s="295" cm="1">
        <f t="array" ref="O44">INDEX('[10]IND tech'!$L$6:$V$182,MATCH($A44&amp;$J44,'[10]IND tech'!$A$6:$A$182&amp;'[10]IND tech'!$J$6:$J$182,0),MATCH(O$5,'[10]IND tech'!$L$3:$V$3,0))+AE44</f>
        <v>0.15100486138613864</v>
      </c>
      <c r="P44" s="295" cm="1">
        <f t="array" ref="P44">INDEX('[10]IND tech'!$L$6:$V$182,MATCH($A44&amp;$J44,'[10]IND tech'!$A$6:$A$182&amp;'[10]IND tech'!$J$6:$J$182,0),MATCH(P$5,'[10]IND tech'!$L$3:$V$3,0))+AF44</f>
        <v>2.8637468888888891</v>
      </c>
      <c r="Q44" s="134" cm="1">
        <f t="array" ref="Q44">INDEX('[10]IND tech'!$L$6:$V$182,MATCH($A44&amp;$J44,'[10]IND tech'!$A$6:$A$182&amp;'[10]IND tech'!$J$6:$J$182,0),MATCH(Q$5,'[10]IND tech'!$L$3:$V$3,0))</f>
        <v>3.1536000000000002E-2</v>
      </c>
      <c r="R44" s="134">
        <v>0.95</v>
      </c>
      <c r="S44" s="134" cm="1">
        <f t="array" ref="S44">INDEX('[10]IND tech'!$L$6:$V$182,MATCH($A44&amp;$J44,'[10]IND tech'!$A$6:$A$182&amp;'[10]IND tech'!$J$6:$J$182,0),MATCH(S$5,'[10]IND tech'!$L$3:$V$3,0))</f>
        <v>0</v>
      </c>
      <c r="W44" s="134">
        <v>3</v>
      </c>
      <c r="Z44" s="124" cm="1">
        <f t="array" ref="Z44">INDEX('[10]IND tech'!$L$6:$V$182,MATCH($A44&amp;$J44,'[10]IND tech'!$A$6:$A$182&amp;'[10]IND tech'!$J$6:$J$182,0),MATCH(Z$5,'[10]IND tech'!$L$3:$V$3,0))</f>
        <v>1.01</v>
      </c>
      <c r="AA44" s="134">
        <f>-AB44/(1+AB44)</f>
        <v>-0.14463441107308525</v>
      </c>
      <c r="AB44" s="134">
        <f>'401.c Post comb - Cement kiln'!$B$11*IND_CCS!AN44</f>
        <v>0.16909075247524752</v>
      </c>
      <c r="AD44" s="134">
        <f>'401.c Post comb - Cement kiln'!$B$28*7.45*AN44</f>
        <v>4.5368287128712881</v>
      </c>
      <c r="AE44" s="134">
        <f>'401.c Post comb - Cement kiln'!$B$34*IND_CCS!AN44*7.45</f>
        <v>0.13610486138613864</v>
      </c>
      <c r="AF44" s="134">
        <f>$AG$8*'401.c Post comb - Cement kiln'!$B$35*7.45</f>
        <v>0.58735800000000005</v>
      </c>
      <c r="AG44" s="134">
        <f>8760*3.6/1000000</f>
        <v>3.1536000000000002E-2</v>
      </c>
      <c r="AL44" s="134">
        <f>[10]Emissions!$F$11/Z44</f>
        <v>56.386138613861391</v>
      </c>
      <c r="AM44" s="134">
        <f>IF(RIGHT(H44,2)="HT",$AT$4/$AT$5,0)</f>
        <v>0</v>
      </c>
      <c r="AN44" s="134">
        <f>$AG$8*(SUM($AL44:$AM44))*1000/8760</f>
        <v>0.202990099009901</v>
      </c>
    </row>
    <row r="45" spans="1:40">
      <c r="A45" s="134" t="str">
        <f>A44</f>
        <v>INDGDMTGASN2</v>
      </c>
      <c r="G45" s="134" t="s">
        <v>352</v>
      </c>
      <c r="J45" s="134">
        <v>2020</v>
      </c>
      <c r="U45" s="134">
        <f>AC45</f>
        <v>5.0747524752475254E-3</v>
      </c>
      <c r="AC45" s="134">
        <f>'401.c Post comb - Cement kiln'!$B$12*IND_CCS!AN44</f>
        <v>5.0747524752475254E-3</v>
      </c>
    </row>
    <row r="46" spans="1:40">
      <c r="A46" s="134" t="str">
        <f>A45</f>
        <v>INDGDMTGASN2</v>
      </c>
      <c r="C46" s="134" t="s">
        <v>341</v>
      </c>
      <c r="I46" s="134" t="str">
        <f>'[10]IND tech'!$I$132</f>
        <v>INDGWH</v>
      </c>
      <c r="J46" s="134">
        <v>2020</v>
      </c>
      <c r="V46" s="134" cm="1">
        <f t="array" ref="V46">INDEX('[10]IND tech'!$L$6:$V$182,MATCH($A44&amp;$J44,'[10]IND tech'!$A$6:$A$182&amp;'[10]IND tech'!$J$6:$J$182,0),MATCH(V$5,'[10]IND tech'!$L$3:$V$3,0))</f>
        <v>0.19</v>
      </c>
    </row>
    <row r="47" spans="1:40">
      <c r="A47" s="134" t="str">
        <f>A46</f>
        <v>INDGDMTGASN2</v>
      </c>
      <c r="I47" s="134" t="s">
        <v>777</v>
      </c>
      <c r="J47" s="134">
        <v>2020</v>
      </c>
      <c r="V47" s="134">
        <f>SUM(AL44:AM44)</f>
        <v>56.386138613861391</v>
      </c>
    </row>
    <row r="48" spans="1:40">
      <c r="A48" s="134" t="str">
        <f>IF(C48&gt;0,LEFT(C48,12),A47)</f>
        <v>INDGDMTGASN2</v>
      </c>
      <c r="F48" s="134" t="str">
        <f>F44</f>
        <v>INDNGA, INDBGA, INDSNG1, INDSNG2, INDLPG</v>
      </c>
      <c r="H48" s="134" t="str">
        <f>H44</f>
        <v>IGDMT</v>
      </c>
      <c r="J48" s="134">
        <v>2030</v>
      </c>
      <c r="L48" s="124">
        <f>Z48+AA48</f>
        <v>0.90464963064310355</v>
      </c>
      <c r="N48" s="295" cm="1">
        <f t="array" ref="N48">INDEX('[10]IND tech'!$L$6:$V$182,MATCH($A48&amp;$J48,'[10]IND tech'!$A$6:$A$182&amp;'[10]IND tech'!$J$6:$J$182,0),MATCH(N$5,'[10]IND tech'!$L$3:$V$3,0))+AD48</f>
        <v>4.2280702912621368</v>
      </c>
      <c r="O48" s="295" cm="1">
        <f t="array" ref="O48">INDEX('[10]IND tech'!$L$6:$V$182,MATCH($A48&amp;$J48,'[10]IND tech'!$A$6:$A$182&amp;'[10]IND tech'!$J$6:$J$182,0),MATCH(O$5,'[10]IND tech'!$L$3:$V$3,0))+AE48</f>
        <v>0.12982210873786409</v>
      </c>
      <c r="P48" s="295" cm="1">
        <f t="array" ref="P48">INDEX('[10]IND tech'!$L$6:$V$182,MATCH($A48&amp;$J48,'[10]IND tech'!$A$6:$A$182&amp;'[10]IND tech'!$J$6:$J$182,0),MATCH(P$5,'[10]IND tech'!$L$3:$V$3,0))+AF48</f>
        <v>2.6568024444444447</v>
      </c>
      <c r="W48" s="134">
        <v>3</v>
      </c>
      <c r="Z48" s="124" cm="1">
        <f t="array" ref="Z48">INDEX('[10]IND tech'!$L$6:$V$182,MATCH($A48&amp;$J48,'[10]IND tech'!$A$6:$A$182&amp;'[10]IND tech'!$J$6:$J$182,0),MATCH(Z$5,'[10]IND tech'!$L$3:$V$3,0))</f>
        <v>1.03</v>
      </c>
      <c r="AA48" s="134">
        <f>-AB48/(1+AB48)</f>
        <v>-0.12535036935689645</v>
      </c>
      <c r="AB48" s="134">
        <f>'401.c Post comb - Cement kiln'!$D$11*IND_CCS!AN48</f>
        <v>0.14331495145631068</v>
      </c>
      <c r="AD48" s="134">
        <f>'401.c Post comb - Cement kiln'!$D$28*7.45*AN48</f>
        <v>3.8555702912621364</v>
      </c>
      <c r="AE48" s="134">
        <f>'401.c Post comb - Cement kiln'!$D$34*IND_CCS!AN48*7.45</f>
        <v>0.11566710873786409</v>
      </c>
      <c r="AF48" s="134">
        <f>$AG$8*'401.c Post comb - Cement kiln'!$D$35*7.45</f>
        <v>0.58735800000000005</v>
      </c>
      <c r="AL48" s="134">
        <f>[10]Emissions!$F$11/Z48</f>
        <v>55.291262135922331</v>
      </c>
      <c r="AM48" s="134">
        <f>IF(RIGHT(H48,2)="HT",$AT$4/$AT$5,0)</f>
        <v>0</v>
      </c>
      <c r="AN48" s="134">
        <f>$AG$8*(SUM($AL48:$AM48))*1000/8760</f>
        <v>0.1990485436893204</v>
      </c>
    </row>
    <row r="49" spans="1:40">
      <c r="A49" s="134" t="str">
        <f>A48</f>
        <v>INDGDMTGASN2</v>
      </c>
      <c r="G49" s="134" t="s">
        <v>352</v>
      </c>
      <c r="J49" s="134">
        <v>2030</v>
      </c>
      <c r="U49" s="134">
        <f>AC49</f>
        <v>4.379067961165049E-3</v>
      </c>
      <c r="AC49" s="134">
        <f>'401.c Post comb - Cement kiln'!$D$12*IND_CCS!AN48</f>
        <v>4.379067961165049E-3</v>
      </c>
    </row>
    <row r="50" spans="1:40">
      <c r="A50" s="134" t="str">
        <f>A49</f>
        <v>INDGDMTGASN2</v>
      </c>
      <c r="C50" s="134" t="s">
        <v>341</v>
      </c>
      <c r="I50" s="134" t="str">
        <f>'[10]IND tech'!$I$132</f>
        <v>INDGWH</v>
      </c>
      <c r="J50" s="134">
        <v>2030</v>
      </c>
      <c r="V50" s="134" cm="1">
        <f t="array" ref="V50">INDEX('[10]IND tech'!$L$6:$V$182,MATCH($A48&amp;$J48,'[10]IND tech'!$A$6:$A$182&amp;'[10]IND tech'!$J$6:$J$182,0),MATCH(V$5,'[10]IND tech'!$L$3:$V$3,0))</f>
        <v>0.16999999999999998</v>
      </c>
    </row>
    <row r="51" spans="1:40">
      <c r="A51" s="134" t="str">
        <f>A50</f>
        <v>INDGDMTGASN2</v>
      </c>
      <c r="I51" s="134" t="s">
        <v>777</v>
      </c>
      <c r="J51" s="134">
        <v>2030</v>
      </c>
      <c r="V51" s="134">
        <f>SUM(AL48:AM48)</f>
        <v>55.291262135922331</v>
      </c>
    </row>
    <row r="52" spans="1:40">
      <c r="A52" s="134" t="str">
        <f>IF(C52&gt;0,LEFT(C52,12),A51)</f>
        <v>INDGDMTGASN2</v>
      </c>
      <c r="F52" s="134" t="str">
        <f>F48</f>
        <v>INDNGA, INDBGA, INDSNG1, INDSNG2, INDLPG</v>
      </c>
      <c r="H52" s="134" t="str">
        <f>H48</f>
        <v>IGDMT</v>
      </c>
      <c r="J52" s="134">
        <v>2050</v>
      </c>
      <c r="L52" s="124">
        <f>Z52+AA52</f>
        <v>0.91388254762753918</v>
      </c>
      <c r="N52" s="295" cm="1">
        <f t="array" ref="N52">INDEX('[10]IND tech'!$L$6:$V$182,MATCH($A52&amp;$J52,'[10]IND tech'!$A$6:$A$182&amp;'[10]IND tech'!$J$6:$J$182,0),MATCH(N$5,'[10]IND tech'!$L$3:$V$3,0))+AD52</f>
        <v>3.0417409708737866</v>
      </c>
      <c r="O52" s="295" cm="1">
        <f t="array" ref="O52">INDEX('[10]IND tech'!$L$6:$V$182,MATCH($A52&amp;$J52,'[10]IND tech'!$A$6:$A$182&amp;'[10]IND tech'!$J$6:$J$182,0),MATCH(O$5,'[10]IND tech'!$L$3:$V$3,0))+AE52</f>
        <v>9.2742229126213604E-2</v>
      </c>
      <c r="P52" s="295" cm="1">
        <f t="array" ref="P52">INDEX('[10]IND tech'!$L$6:$V$182,MATCH($A52&amp;$J52,'[10]IND tech'!$A$6:$A$182&amp;'[10]IND tech'!$J$6:$J$182,0),MATCH(P$5,'[10]IND tech'!$L$3:$V$3,0))+AF52</f>
        <v>2.6568024444444447</v>
      </c>
      <c r="W52" s="134">
        <v>3</v>
      </c>
      <c r="Z52" s="124" cm="1">
        <f t="array" ref="Z52">INDEX('[10]IND tech'!$L$6:$V$182,MATCH($A52&amp;$J52,'[10]IND tech'!$A$6:$A$182&amp;'[10]IND tech'!$J$6:$J$182,0),MATCH(Z$5,'[10]IND tech'!$L$3:$V$3,0))</f>
        <v>1.03</v>
      </c>
      <c r="AA52" s="134">
        <f>-AB52/(1+AB52)</f>
        <v>-0.11611745237246091</v>
      </c>
      <c r="AB52" s="134">
        <f>'401.c Post comb - Cement kiln'!$F$11*IND_CCS!AN52</f>
        <v>0.13137203883495147</v>
      </c>
      <c r="AD52" s="134">
        <f>'401.c Post comb - Cement kiln'!$F$28*7.45*AN52</f>
        <v>2.6692409708737865</v>
      </c>
      <c r="AE52" s="134">
        <f>'401.c Post comb - Cement kiln'!$F$34*IND_CCS!AN52*7.45</f>
        <v>8.0077229126213609E-2</v>
      </c>
      <c r="AF52" s="134">
        <f>$AG$8*'401.c Post comb - Cement kiln'!$F$35*7.45</f>
        <v>0.58735800000000005</v>
      </c>
      <c r="AL52" s="134">
        <f>[10]Emissions!$F$11/Z52</f>
        <v>55.291262135922331</v>
      </c>
      <c r="AM52" s="134">
        <f>IF(RIGHT(H52,2)="HT",$AT$4/$AT$5,0)</f>
        <v>0</v>
      </c>
      <c r="AN52" s="134">
        <f>$AG$8*(SUM($AL52:$AM52))*1000/8760</f>
        <v>0.1990485436893204</v>
      </c>
    </row>
    <row r="53" spans="1:40">
      <c r="A53" s="134" t="str">
        <f>A52</f>
        <v>INDGDMTGASN2</v>
      </c>
      <c r="G53" s="134" t="s">
        <v>352</v>
      </c>
      <c r="J53" s="134">
        <v>2050</v>
      </c>
      <c r="U53" s="134">
        <f>AC53</f>
        <v>3.5828737864077669E-3</v>
      </c>
      <c r="AC53" s="134">
        <f>'401.c Post comb - Cement kiln'!$F$12*IND_CCS!AN52</f>
        <v>3.5828737864077669E-3</v>
      </c>
    </row>
    <row r="54" spans="1:40">
      <c r="A54" s="134" t="str">
        <f>A53</f>
        <v>INDGDMTGASN2</v>
      </c>
      <c r="C54" s="134" t="s">
        <v>341</v>
      </c>
      <c r="I54" s="134" t="str">
        <f>'[10]IND tech'!$I$132</f>
        <v>INDGWH</v>
      </c>
      <c r="J54" s="134">
        <v>2050</v>
      </c>
      <c r="V54" s="134" cm="1">
        <f t="array" ref="V54">INDEX('[10]IND tech'!$L$6:$V$182,MATCH($A52&amp;$J52,'[10]IND tech'!$A$6:$A$182&amp;'[10]IND tech'!$J$6:$J$182,0),MATCH(V$5,'[10]IND tech'!$L$3:$V$3,0))</f>
        <v>0.16999999999999998</v>
      </c>
    </row>
    <row r="55" spans="1:40">
      <c r="A55" s="134" t="str">
        <f>A54</f>
        <v>INDGDMTGASN2</v>
      </c>
      <c r="I55" s="134" t="s">
        <v>777</v>
      </c>
      <c r="J55" s="134">
        <v>2050</v>
      </c>
      <c r="V55" s="134">
        <f>SUM(AL52:AM52)</f>
        <v>55.291262135922331</v>
      </c>
    </row>
    <row r="56" spans="1:40">
      <c r="A56" s="134" t="str">
        <f>IF(C56&gt;0,LEFT(C56,12),A55)</f>
        <v>INDGDRHGASN2</v>
      </c>
      <c r="C56" s="134" t="str">
        <f>'[10]IND tech'!D144&amp;"CCS"</f>
        <v>INDGDRHGASN2CCS</v>
      </c>
      <c r="D56" s="134" t="str">
        <f>'[10]IND tech'!E144&amp;"CCS"</f>
        <v>Industrial heating technology Glass &amp; Concrete RH - Gas boiler (Steam - condensing) - new 2CCS</v>
      </c>
      <c r="E56" s="134" t="s">
        <v>683</v>
      </c>
      <c r="F56" s="134" t="str">
        <f>'[10]IND tech'!$G$132</f>
        <v>INDNGA, INDBGA, INDSNG1, INDSNG2, INDLPG</v>
      </c>
      <c r="H56" s="134" t="str">
        <f>"IGD"&amp;MID(C56,6,2)</f>
        <v>IGDRH</v>
      </c>
      <c r="J56" s="134">
        <v>2020</v>
      </c>
      <c r="K56" s="134">
        <v>2020</v>
      </c>
      <c r="L56" s="124">
        <f>Z56+AA56</f>
        <v>0.86536558892691473</v>
      </c>
      <c r="M56" s="134" cm="1">
        <f t="array" ref="M56">INDEX('[10]IND tech'!$L$6:$V$182,MATCH($A56&amp;$J56,'[10]IND tech'!$A$6:$A$182&amp;'[10]IND tech'!$J$6:$J$182,0),MATCH(M$5,'[10]IND tech'!$L$3:$V$3,0))</f>
        <v>25</v>
      </c>
      <c r="N56" s="295" cm="1">
        <f t="array" ref="N56">INDEX('[10]IND tech'!$L$6:$V$182,MATCH($A56&amp;$J56,'[10]IND tech'!$A$6:$A$182&amp;'[10]IND tech'!$J$6:$J$182,0),MATCH(N$5,'[10]IND tech'!$L$3:$V$3,0))+AD56</f>
        <v>4.9838287128712881</v>
      </c>
      <c r="O56" s="295" cm="1">
        <f t="array" ref="O56">INDEX('[10]IND tech'!$L$6:$V$182,MATCH($A56&amp;$J56,'[10]IND tech'!$A$6:$A$182&amp;'[10]IND tech'!$J$6:$J$182,0),MATCH(O$5,'[10]IND tech'!$L$3:$V$3,0))+AE56</f>
        <v>0.15100486138613864</v>
      </c>
      <c r="P56" s="295" cm="1">
        <f t="array" ref="P56">INDEX('[10]IND tech'!$L$6:$V$182,MATCH($A56&amp;$J56,'[10]IND tech'!$A$6:$A$182&amp;'[10]IND tech'!$J$6:$J$182,0),MATCH(P$5,'[10]IND tech'!$L$3:$V$3,0))+AF56</f>
        <v>2.8637468888888891</v>
      </c>
      <c r="Q56" s="134" cm="1">
        <f t="array" ref="Q56">INDEX('[10]IND tech'!$L$6:$V$182,MATCH($A56&amp;$J56,'[10]IND tech'!$A$6:$A$182&amp;'[10]IND tech'!$J$6:$J$182,0),MATCH(Q$5,'[10]IND tech'!$L$3:$V$3,0))</f>
        <v>3.1536000000000002E-2</v>
      </c>
      <c r="R56" s="134">
        <v>0.95</v>
      </c>
      <c r="S56" s="134" cm="1">
        <f t="array" ref="S56">INDEX('[10]IND tech'!$L$6:$V$182,MATCH($A56&amp;$J56,'[10]IND tech'!$A$6:$A$182&amp;'[10]IND tech'!$J$6:$J$182,0),MATCH(S$5,'[10]IND tech'!$L$3:$V$3,0))</f>
        <v>0</v>
      </c>
      <c r="W56" s="134">
        <v>3</v>
      </c>
      <c r="Z56" s="124" cm="1">
        <f t="array" ref="Z56">INDEX('[10]IND tech'!$L$6:$V$182,MATCH($A56&amp;$J56,'[10]IND tech'!$A$6:$A$182&amp;'[10]IND tech'!$J$6:$J$182,0),MATCH(Z$5,'[10]IND tech'!$L$3:$V$3,0))</f>
        <v>1.01</v>
      </c>
      <c r="AA56" s="134">
        <f>-AB56/(1+AB56)</f>
        <v>-0.14463441107308525</v>
      </c>
      <c r="AB56" s="134">
        <f>'401.c Post comb - Cement kiln'!$B$11*IND_CCS!AN56</f>
        <v>0.16909075247524752</v>
      </c>
      <c r="AD56" s="134">
        <f>'401.c Post comb - Cement kiln'!$B$28*7.45*AN56</f>
        <v>4.5368287128712881</v>
      </c>
      <c r="AE56" s="134">
        <f>'401.c Post comb - Cement kiln'!$B$34*IND_CCS!AN56*7.45</f>
        <v>0.13610486138613864</v>
      </c>
      <c r="AF56" s="134">
        <f>$AG$8*'401.c Post comb - Cement kiln'!$B$35*7.45</f>
        <v>0.58735800000000005</v>
      </c>
      <c r="AG56" s="134">
        <f>8760*3.6/1000000</f>
        <v>3.1536000000000002E-2</v>
      </c>
      <c r="AL56" s="134">
        <f>[10]Emissions!$F$11/Z56</f>
        <v>56.386138613861391</v>
      </c>
      <c r="AM56" s="134">
        <f>IF(RIGHT(H56,2)="HT",$AT$4/$AT$5,0)</f>
        <v>0</v>
      </c>
      <c r="AN56" s="134">
        <f>$AG$8*(SUM($AL56:$AM56))*1000/8760</f>
        <v>0.202990099009901</v>
      </c>
    </row>
    <row r="57" spans="1:40">
      <c r="A57" s="134" t="str">
        <f>A56</f>
        <v>INDGDRHGASN2</v>
      </c>
      <c r="G57" s="134" t="s">
        <v>352</v>
      </c>
      <c r="J57" s="134">
        <v>2020</v>
      </c>
      <c r="U57" s="134">
        <f>AC57</f>
        <v>5.0747524752475254E-3</v>
      </c>
      <c r="AC57" s="134">
        <f>'401.c Post comb - Cement kiln'!$B$12*IND_CCS!AN56</f>
        <v>5.0747524752475254E-3</v>
      </c>
    </row>
    <row r="58" spans="1:40">
      <c r="A58" s="134" t="str">
        <f>A57</f>
        <v>INDGDRHGASN2</v>
      </c>
      <c r="C58" s="134" t="s">
        <v>341</v>
      </c>
      <c r="I58" s="134" t="str">
        <f>'[10]IND tech'!$I$132</f>
        <v>INDGWH</v>
      </c>
      <c r="J58" s="134">
        <v>2020</v>
      </c>
      <c r="V58" s="134" cm="1">
        <f t="array" ref="V58">INDEX('[10]IND tech'!$L$6:$V$182,MATCH($A56&amp;$J56,'[10]IND tech'!$A$6:$A$182&amp;'[10]IND tech'!$J$6:$J$182,0),MATCH(V$5,'[10]IND tech'!$L$3:$V$3,0))</f>
        <v>-1.0000000000000009E-2</v>
      </c>
    </row>
    <row r="59" spans="1:40">
      <c r="A59" s="134" t="str">
        <f>A58</f>
        <v>INDGDRHGASN2</v>
      </c>
      <c r="I59" s="134" t="s">
        <v>777</v>
      </c>
      <c r="J59" s="134">
        <v>2020</v>
      </c>
      <c r="V59" s="134">
        <f>SUM(AL56:AM56)</f>
        <v>56.386138613861391</v>
      </c>
    </row>
    <row r="60" spans="1:40">
      <c r="A60" s="134" t="str">
        <f>IF(C60&gt;0,LEFT(C60,12),A59)</f>
        <v>INDGDRHGASN2</v>
      </c>
      <c r="F60" s="134" t="str">
        <f>F56</f>
        <v>INDNGA, INDBGA, INDSNG1, INDSNG2, INDLPG</v>
      </c>
      <c r="H60" s="134" t="str">
        <f>H56</f>
        <v>IGDRH</v>
      </c>
      <c r="J60" s="134">
        <v>2030</v>
      </c>
      <c r="L60" s="124">
        <f>Z60+AA60</f>
        <v>0.90464963064310355</v>
      </c>
      <c r="N60" s="295" cm="1">
        <f t="array" ref="N60">INDEX('[10]IND tech'!$L$6:$V$182,MATCH($A60&amp;$J60,'[10]IND tech'!$A$6:$A$182&amp;'[10]IND tech'!$J$6:$J$182,0),MATCH(N$5,'[10]IND tech'!$L$3:$V$3,0))+AD60</f>
        <v>4.2280702912621368</v>
      </c>
      <c r="O60" s="295" cm="1">
        <f t="array" ref="O60">INDEX('[10]IND tech'!$L$6:$V$182,MATCH($A60&amp;$J60,'[10]IND tech'!$A$6:$A$182&amp;'[10]IND tech'!$J$6:$J$182,0),MATCH(O$5,'[10]IND tech'!$L$3:$V$3,0))+AE60</f>
        <v>0.12982210873786409</v>
      </c>
      <c r="P60" s="295" cm="1">
        <f t="array" ref="P60">INDEX('[10]IND tech'!$L$6:$V$182,MATCH($A60&amp;$J60,'[10]IND tech'!$A$6:$A$182&amp;'[10]IND tech'!$J$6:$J$182,0),MATCH(P$5,'[10]IND tech'!$L$3:$V$3,0))+AF60</f>
        <v>2.6568024444444447</v>
      </c>
      <c r="W60" s="134">
        <v>3</v>
      </c>
      <c r="Z60" s="124" cm="1">
        <f t="array" ref="Z60">INDEX('[10]IND tech'!$L$6:$V$182,MATCH($A60&amp;$J60,'[10]IND tech'!$A$6:$A$182&amp;'[10]IND tech'!$J$6:$J$182,0),MATCH(Z$5,'[10]IND tech'!$L$3:$V$3,0))</f>
        <v>1.03</v>
      </c>
      <c r="AA60" s="134">
        <f>-AB60/(1+AB60)</f>
        <v>-0.12535036935689645</v>
      </c>
      <c r="AB60" s="134">
        <f>'401.c Post comb - Cement kiln'!$D$11*IND_CCS!AN60</f>
        <v>0.14331495145631068</v>
      </c>
      <c r="AD60" s="134">
        <f>'401.c Post comb - Cement kiln'!$D$28*7.45*AN60</f>
        <v>3.8555702912621364</v>
      </c>
      <c r="AE60" s="134">
        <f>'401.c Post comb - Cement kiln'!$D$34*IND_CCS!AN60*7.45</f>
        <v>0.11566710873786409</v>
      </c>
      <c r="AF60" s="134">
        <f>$AG$8*'401.c Post comb - Cement kiln'!$D$35*7.45</f>
        <v>0.58735800000000005</v>
      </c>
      <c r="AL60" s="134">
        <f>[10]Emissions!$F$11/Z60</f>
        <v>55.291262135922331</v>
      </c>
      <c r="AM60" s="134">
        <f>IF(RIGHT(H60,2)="HT",$AT$4/$AT$5,0)</f>
        <v>0</v>
      </c>
      <c r="AN60" s="134">
        <f>$AG$8*(SUM($AL60:$AM60))*1000/8760</f>
        <v>0.1990485436893204</v>
      </c>
    </row>
    <row r="61" spans="1:40">
      <c r="A61" s="134" t="str">
        <f>A60</f>
        <v>INDGDRHGASN2</v>
      </c>
      <c r="G61" s="134" t="s">
        <v>352</v>
      </c>
      <c r="J61" s="134">
        <v>2030</v>
      </c>
      <c r="U61" s="134">
        <f>AC61</f>
        <v>4.379067961165049E-3</v>
      </c>
      <c r="AC61" s="134">
        <f>'401.c Post comb - Cement kiln'!$D$12*IND_CCS!AN60</f>
        <v>4.379067961165049E-3</v>
      </c>
    </row>
    <row r="62" spans="1:40">
      <c r="A62" s="134" t="str">
        <f>A61</f>
        <v>INDGDRHGASN2</v>
      </c>
      <c r="C62" s="134" t="s">
        <v>341</v>
      </c>
      <c r="I62" s="134" t="str">
        <f>'[10]IND tech'!$I$132</f>
        <v>INDGWH</v>
      </c>
      <c r="J62" s="134">
        <v>2030</v>
      </c>
      <c r="V62" s="134" cm="1">
        <f t="array" ref="V62">INDEX('[10]IND tech'!$L$6:$V$182,MATCH($A60&amp;$J60,'[10]IND tech'!$A$6:$A$182&amp;'[10]IND tech'!$J$6:$J$182,0),MATCH(V$5,'[10]IND tech'!$L$3:$V$3,0))</f>
        <v>-3.0000000000000027E-2</v>
      </c>
    </row>
    <row r="63" spans="1:40">
      <c r="A63" s="134" t="str">
        <f>A62</f>
        <v>INDGDRHGASN2</v>
      </c>
      <c r="I63" s="134" t="s">
        <v>777</v>
      </c>
      <c r="J63" s="134">
        <v>2030</v>
      </c>
      <c r="V63" s="134">
        <f>SUM(AL60:AM60)</f>
        <v>55.291262135922331</v>
      </c>
    </row>
    <row r="64" spans="1:40">
      <c r="A64" s="134" t="str">
        <f>IF(C64&gt;0,LEFT(C64,12),A63)</f>
        <v>INDGDRHGASN2</v>
      </c>
      <c r="F64" s="134" t="str">
        <f>F60</f>
        <v>INDNGA, INDBGA, INDSNG1, INDSNG2, INDLPG</v>
      </c>
      <c r="H64" s="134" t="str">
        <f>H60</f>
        <v>IGDRH</v>
      </c>
      <c r="J64" s="134">
        <v>2050</v>
      </c>
      <c r="L64" s="124">
        <f>Z64+AA64</f>
        <v>0.91388254762753918</v>
      </c>
      <c r="N64" s="295" cm="1">
        <f t="array" ref="N64">INDEX('[10]IND tech'!$L$6:$V$182,MATCH($A64&amp;$J64,'[10]IND tech'!$A$6:$A$182&amp;'[10]IND tech'!$J$6:$J$182,0),MATCH(N$5,'[10]IND tech'!$L$3:$V$3,0))+AD64</f>
        <v>3.0417409708737866</v>
      </c>
      <c r="O64" s="295" cm="1">
        <f t="array" ref="O64">INDEX('[10]IND tech'!$L$6:$V$182,MATCH($A64&amp;$J64,'[10]IND tech'!$A$6:$A$182&amp;'[10]IND tech'!$J$6:$J$182,0),MATCH(O$5,'[10]IND tech'!$L$3:$V$3,0))+AE64</f>
        <v>9.2742229126213604E-2</v>
      </c>
      <c r="P64" s="295" cm="1">
        <f t="array" ref="P64">INDEX('[10]IND tech'!$L$6:$V$182,MATCH($A64&amp;$J64,'[10]IND tech'!$A$6:$A$182&amp;'[10]IND tech'!$J$6:$J$182,0),MATCH(P$5,'[10]IND tech'!$L$3:$V$3,0))+AF64</f>
        <v>2.6568024444444447</v>
      </c>
      <c r="W64" s="134">
        <v>3</v>
      </c>
      <c r="Z64" s="124" cm="1">
        <f t="array" ref="Z64">INDEX('[10]IND tech'!$L$6:$V$182,MATCH($A64&amp;$J64,'[10]IND tech'!$A$6:$A$182&amp;'[10]IND tech'!$J$6:$J$182,0),MATCH(Z$5,'[10]IND tech'!$L$3:$V$3,0))</f>
        <v>1.03</v>
      </c>
      <c r="AA64" s="134">
        <f>-AB64/(1+AB64)</f>
        <v>-0.11611745237246091</v>
      </c>
      <c r="AB64" s="134">
        <f>'401.c Post comb - Cement kiln'!$F$11*IND_CCS!AN64</f>
        <v>0.13137203883495147</v>
      </c>
      <c r="AD64" s="134">
        <f>'401.c Post comb - Cement kiln'!$F$28*7.45*AN64</f>
        <v>2.6692409708737865</v>
      </c>
      <c r="AE64" s="134">
        <f>'401.c Post comb - Cement kiln'!$F$34*IND_CCS!AN64*7.45</f>
        <v>8.0077229126213609E-2</v>
      </c>
      <c r="AF64" s="134">
        <f>$AG$8*'401.c Post comb - Cement kiln'!$F$35*7.45</f>
        <v>0.58735800000000005</v>
      </c>
      <c r="AL64" s="134">
        <f>[10]Emissions!$F$11/Z64</f>
        <v>55.291262135922331</v>
      </c>
      <c r="AM64" s="134">
        <f>IF(RIGHT(H64,2)="HT",$AT$4/$AT$5,0)</f>
        <v>0</v>
      </c>
      <c r="AN64" s="134">
        <f>$AG$8*(SUM($AL64:$AM64))*1000/8760</f>
        <v>0.1990485436893204</v>
      </c>
    </row>
    <row r="65" spans="1:40">
      <c r="A65" s="134" t="str">
        <f>A64</f>
        <v>INDGDRHGASN2</v>
      </c>
      <c r="G65" s="134" t="s">
        <v>352</v>
      </c>
      <c r="J65" s="134">
        <v>2050</v>
      </c>
      <c r="U65" s="134">
        <f>AC65</f>
        <v>3.5828737864077669E-3</v>
      </c>
      <c r="AC65" s="134">
        <f>'401.c Post comb - Cement kiln'!$F$12*IND_CCS!AN64</f>
        <v>3.5828737864077669E-3</v>
      </c>
    </row>
    <row r="66" spans="1:40">
      <c r="A66" s="134" t="str">
        <f>A65</f>
        <v>INDGDRHGASN2</v>
      </c>
      <c r="C66" s="134" t="s">
        <v>341</v>
      </c>
      <c r="I66" s="134" t="str">
        <f>'[10]IND tech'!$I$132</f>
        <v>INDGWH</v>
      </c>
      <c r="J66" s="134">
        <v>2050</v>
      </c>
      <c r="V66" s="134" cm="1">
        <f t="array" ref="V66">INDEX('[10]IND tech'!$L$6:$V$182,MATCH($A64&amp;$J64,'[10]IND tech'!$A$6:$A$182&amp;'[10]IND tech'!$J$6:$J$182,0),MATCH(V$5,'[10]IND tech'!$L$3:$V$3,0))</f>
        <v>-3.0000000000000027E-2</v>
      </c>
    </row>
    <row r="67" spans="1:40">
      <c r="A67" s="134" t="str">
        <f>A66</f>
        <v>INDGDRHGASN2</v>
      </c>
      <c r="I67" s="134" t="s">
        <v>777</v>
      </c>
      <c r="J67" s="134">
        <v>2050</v>
      </c>
      <c r="V67" s="134">
        <f>SUM(AL64:AM64)</f>
        <v>55.291262135922331</v>
      </c>
    </row>
    <row r="68" spans="1:40">
      <c r="A68" s="134" t="str">
        <f>IF(C68&gt;0,LEFT(C68,12),A67)</f>
        <v>INDGDMTGASN3</v>
      </c>
      <c r="C68" s="134" t="str">
        <f>'[10]IND tech'!D147&amp;"CCS"</f>
        <v>INDGDMTGASN3CCS</v>
      </c>
      <c r="D68" s="134" t="str">
        <f>'[10]IND tech'!E147&amp;"CCS"</f>
        <v>Industrial heating technology Glass &amp; Concrete MT - Gas boiler (Hot Water) - new 3CCS</v>
      </c>
      <c r="E68" s="134" t="s">
        <v>683</v>
      </c>
      <c r="F68" s="134" t="str">
        <f>'[10]IND tech'!$G$132</f>
        <v>INDNGA, INDBGA, INDSNG1, INDSNG2, INDLPG</v>
      </c>
      <c r="H68" s="134" t="str">
        <f>"IGD"&amp;MID(C68,6,2)</f>
        <v>IGDMT</v>
      </c>
      <c r="J68" s="134">
        <v>2020</v>
      </c>
      <c r="K68" s="134">
        <v>2020</v>
      </c>
      <c r="L68" s="124">
        <f>Z68+AA68</f>
        <v>0.77485419206566364</v>
      </c>
      <c r="M68" s="134" cm="1">
        <f t="array" ref="M68">INDEX('[10]IND tech'!$L$6:$V$182,MATCH($A68&amp;$J68,'[10]IND tech'!$A$6:$A$182&amp;'[10]IND tech'!$J$6:$J$182,0),MATCH(M$5,'[10]IND tech'!$L$3:$V$3,0))</f>
        <v>25</v>
      </c>
      <c r="N68" s="295" cm="1">
        <f t="array" ref="N68">INDEX('[10]IND tech'!$L$6:$V$182,MATCH($A68&amp;$J68,'[10]IND tech'!$A$6:$A$182&amp;'[10]IND tech'!$J$6:$J$182,0),MATCH(N$5,'[10]IND tech'!$L$3:$V$3,0))+AD68</f>
        <v>5.2521844574780072</v>
      </c>
      <c r="O68" s="295" cm="1">
        <f t="array" ref="O68">INDEX('[10]IND tech'!$L$6:$V$182,MATCH($A68&amp;$J68,'[10]IND tech'!$A$6:$A$182&amp;'[10]IND tech'!$J$6:$J$182,0),MATCH(O$5,'[10]IND tech'!$L$3:$V$3,0))+AE68</f>
        <v>0.1627128064516129</v>
      </c>
      <c r="P68" s="295" cm="1">
        <f t="array" ref="P68">INDEX('[10]IND tech'!$L$6:$V$182,MATCH($A68&amp;$J68,'[10]IND tech'!$A$6:$A$182&amp;'[10]IND tech'!$J$6:$J$182,0),MATCH(P$5,'[10]IND tech'!$L$3:$V$3,0))+AF68</f>
        <v>2.8637468888888891</v>
      </c>
      <c r="Q68" s="134" cm="1">
        <f t="array" ref="Q68">INDEX('[10]IND tech'!$L$6:$V$182,MATCH($A68&amp;$J68,'[10]IND tech'!$A$6:$A$182&amp;'[10]IND tech'!$J$6:$J$182,0),MATCH(Q$5,'[10]IND tech'!$L$3:$V$3,0))</f>
        <v>3.1536000000000002E-2</v>
      </c>
      <c r="R68" s="134">
        <v>0.95</v>
      </c>
      <c r="S68" s="134" cm="1">
        <f t="array" ref="S68">INDEX('[10]IND tech'!$L$6:$V$182,MATCH($A68&amp;$J68,'[10]IND tech'!$A$6:$A$182&amp;'[10]IND tech'!$J$6:$J$182,0),MATCH(S$5,'[10]IND tech'!$L$3:$V$3,0))</f>
        <v>0.5</v>
      </c>
      <c r="W68" s="134">
        <v>3</v>
      </c>
      <c r="Z68" s="124" cm="1">
        <f t="array" ref="Z68">INDEX('[10]IND tech'!$L$6:$V$182,MATCH($A68&amp;$J68,'[10]IND tech'!$A$6:$A$182&amp;'[10]IND tech'!$J$6:$J$182,0),MATCH(Z$5,'[10]IND tech'!$L$3:$V$3,0))</f>
        <v>0.93</v>
      </c>
      <c r="AA68" s="134">
        <f>-AB68/(1+AB68)</f>
        <v>-0.15514580793433641</v>
      </c>
      <c r="AB68" s="134">
        <f>'401.c Post comb - Cement kiln'!$B$11*IND_CCS!AN68</f>
        <v>0.18363619354838709</v>
      </c>
      <c r="AD68" s="134">
        <f>'401.c Post comb - Cement kiln'!$B$28*7.45*AN68</f>
        <v>4.9270935483870977</v>
      </c>
      <c r="AE68" s="134">
        <f>'401.c Post comb - Cement kiln'!$B$34*IND_CCS!AN68*7.45</f>
        <v>0.1478128064516129</v>
      </c>
      <c r="AF68" s="134">
        <f>$AG$8*'401.c Post comb - Cement kiln'!$B$35*7.45</f>
        <v>0.58735800000000005</v>
      </c>
      <c r="AG68" s="134">
        <f>8760*3.6/1000000</f>
        <v>3.1536000000000002E-2</v>
      </c>
      <c r="AL68" s="134">
        <f>[10]Emissions!$F$11/Z68</f>
        <v>61.236559139784944</v>
      </c>
      <c r="AM68" s="134">
        <f>IF(RIGHT(H68,2)="HT",$AT$4/$AT$5,0)</f>
        <v>0</v>
      </c>
      <c r="AN68" s="134">
        <f>$AG$8*(SUM($AL68:$AM68))*1000/8760</f>
        <v>0.22045161290322582</v>
      </c>
    </row>
    <row r="69" spans="1:40">
      <c r="A69" s="134" t="str">
        <f>A68</f>
        <v>INDGDMTGASN3</v>
      </c>
      <c r="G69" s="134" t="s">
        <v>352</v>
      </c>
      <c r="J69" s="134">
        <v>2020</v>
      </c>
      <c r="U69" s="134">
        <f>AC69</f>
        <v>5.5112903225806456E-3</v>
      </c>
      <c r="AC69" s="134">
        <f>'401.c Post comb - Cement kiln'!$B$12*IND_CCS!AN68</f>
        <v>5.5112903225806456E-3</v>
      </c>
    </row>
    <row r="70" spans="1:40">
      <c r="A70" s="134" t="str">
        <f>A69</f>
        <v>INDGDMTGASN3</v>
      </c>
      <c r="C70" s="134" t="s">
        <v>341</v>
      </c>
      <c r="I70" s="134" t="str">
        <f>'[10]IND tech'!$I$132</f>
        <v>INDGWH</v>
      </c>
      <c r="J70" s="134">
        <v>2020</v>
      </c>
      <c r="V70" s="134" cm="1">
        <f t="array" ref="V70">INDEX('[10]IND tech'!$L$6:$V$182,MATCH($A68&amp;$J68,'[10]IND tech'!$A$6:$A$182&amp;'[10]IND tech'!$J$6:$J$182,0),MATCH(V$5,'[10]IND tech'!$L$3:$V$3,0))</f>
        <v>0.26999999999999996</v>
      </c>
    </row>
    <row r="71" spans="1:40">
      <c r="A71" s="134" t="str">
        <f>A70</f>
        <v>INDGDMTGASN3</v>
      </c>
      <c r="I71" s="134" t="s">
        <v>777</v>
      </c>
      <c r="J71" s="134">
        <v>2020</v>
      </c>
      <c r="V71" s="134">
        <f>SUM(AL68:AM68)</f>
        <v>61.236559139784944</v>
      </c>
    </row>
    <row r="72" spans="1:40">
      <c r="A72" s="134" t="str">
        <f>IF(C72&gt;0,LEFT(C72,12),A71)</f>
        <v>INDGDMTGASN3</v>
      </c>
      <c r="F72" s="134" t="str">
        <f>F68</f>
        <v>INDNGA, INDBGA, INDSNG1, INDSNG2, INDLPG</v>
      </c>
      <c r="H72" s="134" t="str">
        <f>H68</f>
        <v>IGDMT</v>
      </c>
      <c r="J72" s="134">
        <v>2030</v>
      </c>
      <c r="L72" s="124">
        <f>Z72+AA72</f>
        <v>0.80427689813595693</v>
      </c>
      <c r="N72" s="295" cm="1">
        <f t="array" ref="N72">INDEX('[10]IND tech'!$L$6:$V$182,MATCH($A72&amp;$J72,'[10]IND tech'!$A$6:$A$182&amp;'[10]IND tech'!$J$6:$J$182,0),MATCH(N$5,'[10]IND tech'!$L$3:$V$3,0))+AD72</f>
        <v>4.4956297292069634</v>
      </c>
      <c r="O72" s="295" cm="1">
        <f t="array" ref="O72">INDEX('[10]IND tech'!$L$6:$V$182,MATCH($A72&amp;$J72,'[10]IND tech'!$A$6:$A$182&amp;'[10]IND tech'!$J$6:$J$182,0),MATCH(O$5,'[10]IND tech'!$L$3:$V$3,0))+AE72</f>
        <v>0.1408966191489362</v>
      </c>
      <c r="P72" s="295" cm="1">
        <f t="array" ref="P72">INDEX('[10]IND tech'!$L$6:$V$182,MATCH($A72&amp;$J72,'[10]IND tech'!$A$6:$A$182&amp;'[10]IND tech'!$J$6:$J$182,0),MATCH(P$5,'[10]IND tech'!$L$3:$V$3,0))+AF72</f>
        <v>2.6568024444444447</v>
      </c>
      <c r="W72" s="134">
        <v>3</v>
      </c>
      <c r="Z72" s="124" cm="1">
        <f t="array" ref="Z72">INDEX('[10]IND tech'!$L$6:$V$182,MATCH($A72&amp;$J72,'[10]IND tech'!$A$6:$A$182&amp;'[10]IND tech'!$J$6:$J$182,0),MATCH(Z$5,'[10]IND tech'!$L$3:$V$3,0))</f>
        <v>0.94</v>
      </c>
      <c r="AA72" s="134">
        <f>-AB72/(1+AB72)</f>
        <v>-0.13572310186404299</v>
      </c>
      <c r="AB72" s="134">
        <f>'401.c Post comb - Cement kiln'!$D$11*IND_CCS!AN72</f>
        <v>0.15703659574468085</v>
      </c>
      <c r="AD72" s="134">
        <f>'401.c Post comb - Cement kiln'!$D$28*7.45*AN72</f>
        <v>4.2247206382978728</v>
      </c>
      <c r="AE72" s="134">
        <f>'401.c Post comb - Cement kiln'!$D$34*IND_CCS!AN72*7.45</f>
        <v>0.1267416191489362</v>
      </c>
      <c r="AF72" s="134">
        <f>$AG$8*'401.c Post comb - Cement kiln'!$D$35*7.45</f>
        <v>0.58735800000000005</v>
      </c>
      <c r="AL72" s="134">
        <f>[10]Emissions!$F$11/Z72</f>
        <v>60.585106382978729</v>
      </c>
      <c r="AM72" s="134">
        <f>IF(RIGHT(H72,2)="HT",$AT$4/$AT$5,0)</f>
        <v>0</v>
      </c>
      <c r="AN72" s="134">
        <f>$AG$8*(SUM($AL72:$AM72))*1000/8760</f>
        <v>0.21810638297872342</v>
      </c>
    </row>
    <row r="73" spans="1:40">
      <c r="A73" s="134" t="str">
        <f>A72</f>
        <v>INDGDMTGASN3</v>
      </c>
      <c r="G73" s="134" t="s">
        <v>352</v>
      </c>
      <c r="J73" s="134">
        <v>2030</v>
      </c>
      <c r="U73" s="134">
        <f>AC73</f>
        <v>4.7983404255319152E-3</v>
      </c>
      <c r="AC73" s="134">
        <f>'401.c Post comb - Cement kiln'!$D$12*IND_CCS!AN72</f>
        <v>4.7983404255319152E-3</v>
      </c>
    </row>
    <row r="74" spans="1:40">
      <c r="A74" s="134" t="str">
        <f>A73</f>
        <v>INDGDMTGASN3</v>
      </c>
      <c r="C74" s="134" t="s">
        <v>341</v>
      </c>
      <c r="I74" s="134" t="str">
        <f>'[10]IND tech'!$I$132</f>
        <v>INDGWH</v>
      </c>
      <c r="J74" s="134">
        <v>2030</v>
      </c>
      <c r="V74" s="134" cm="1">
        <f t="array" ref="V74">INDEX('[10]IND tech'!$L$6:$V$182,MATCH($A72&amp;$J72,'[10]IND tech'!$A$6:$A$182&amp;'[10]IND tech'!$J$6:$J$182,0),MATCH(V$5,'[10]IND tech'!$L$3:$V$3,0))</f>
        <v>0.26000000000000006</v>
      </c>
    </row>
    <row r="75" spans="1:40">
      <c r="A75" s="134" t="str">
        <f>A74</f>
        <v>INDGDMTGASN3</v>
      </c>
      <c r="I75" s="134" t="s">
        <v>777</v>
      </c>
      <c r="J75" s="134">
        <v>2030</v>
      </c>
      <c r="V75" s="134">
        <f>SUM(AL72:AM72)</f>
        <v>60.585106382978729</v>
      </c>
    </row>
    <row r="76" spans="1:40">
      <c r="A76" s="134" t="str">
        <f>IF(C76&gt;0,LEFT(C76,12),A75)</f>
        <v>INDGDMTGASN3</v>
      </c>
      <c r="F76" s="134" t="str">
        <f>F72</f>
        <v>INDNGA, INDBGA, INDSNG1, INDSNG2, INDLPG</v>
      </c>
      <c r="H76" s="134" t="str">
        <f>H72</f>
        <v>IGDMT</v>
      </c>
      <c r="J76" s="134">
        <v>2050</v>
      </c>
      <c r="L76" s="124">
        <f>Z76+AA76</f>
        <v>0.82532336287810737</v>
      </c>
      <c r="N76" s="295" cm="1">
        <f t="array" ref="N76">INDEX('[10]IND tech'!$L$6:$V$182,MATCH($A76&amp;$J76,'[10]IND tech'!$A$6:$A$182&amp;'[10]IND tech'!$J$6:$J$182,0),MATCH(N$5,'[10]IND tech'!$L$3:$V$3,0))+AD76</f>
        <v>3.1649282488038284</v>
      </c>
      <c r="O76" s="295" cm="1">
        <f t="array" ref="O76">INDEX('[10]IND tech'!$L$6:$V$182,MATCH($A76&amp;$J76,'[10]IND tech'!$A$6:$A$182&amp;'[10]IND tech'!$J$6:$J$182,0),MATCH(O$5,'[10]IND tech'!$L$3:$V$3,0))+AE76</f>
        <v>9.9485574736842122E-2</v>
      </c>
      <c r="P76" s="295" cm="1">
        <f t="array" ref="P76">INDEX('[10]IND tech'!$L$6:$V$182,MATCH($A76&amp;$J76,'[10]IND tech'!$A$6:$A$182&amp;'[10]IND tech'!$J$6:$J$182,0),MATCH(P$5,'[10]IND tech'!$L$3:$V$3,0))+AF76</f>
        <v>2.6568024444444447</v>
      </c>
      <c r="W76" s="134">
        <v>3</v>
      </c>
      <c r="Z76" s="124" cm="1">
        <f t="array" ref="Z76">INDEX('[10]IND tech'!$L$6:$V$182,MATCH($A76&amp;$J76,'[10]IND tech'!$A$6:$A$182&amp;'[10]IND tech'!$J$6:$J$182,0),MATCH(Z$5,'[10]IND tech'!$L$3:$V$3,0))</f>
        <v>0.95</v>
      </c>
      <c r="AA76" s="134">
        <f>-AB76/(1+AB76)</f>
        <v>-0.12467663712189259</v>
      </c>
      <c r="AB76" s="134">
        <f>'401.c Post comb - Cement kiln'!$F$11*IND_CCS!AN76</f>
        <v>0.14243494736842108</v>
      </c>
      <c r="AD76" s="134">
        <f>'401.c Post comb - Cement kiln'!$F$28*7.45*AN76</f>
        <v>2.8940191578947374</v>
      </c>
      <c r="AE76" s="134">
        <f>'401.c Post comb - Cement kiln'!$F$34*IND_CCS!AN76*7.45</f>
        <v>8.6820574736842127E-2</v>
      </c>
      <c r="AF76" s="134">
        <f>$AG$8*'401.c Post comb - Cement kiln'!$F$35*7.45</f>
        <v>0.58735800000000005</v>
      </c>
      <c r="AL76" s="134">
        <f>[10]Emissions!$F$11/Z76</f>
        <v>59.947368421052637</v>
      </c>
      <c r="AM76" s="134">
        <f>IF(RIGHT(H76,2)="HT",$AT$4/$AT$5,0)</f>
        <v>0</v>
      </c>
      <c r="AN76" s="134">
        <f>$AG$8*(SUM($AL76:$AM76))*1000/8760</f>
        <v>0.21581052631578951</v>
      </c>
    </row>
    <row r="77" spans="1:40">
      <c r="A77" s="134" t="str">
        <f>A76</f>
        <v>INDGDMTGASN3</v>
      </c>
      <c r="G77" s="134" t="s">
        <v>352</v>
      </c>
      <c r="J77" s="134">
        <v>2050</v>
      </c>
      <c r="U77" s="134">
        <f>AC77</f>
        <v>3.8845894736842107E-3</v>
      </c>
      <c r="AC77" s="134">
        <f>'401.c Post comb - Cement kiln'!$F$12*IND_CCS!AN76</f>
        <v>3.8845894736842107E-3</v>
      </c>
    </row>
    <row r="78" spans="1:40">
      <c r="A78" s="134" t="str">
        <f>A77</f>
        <v>INDGDMTGASN3</v>
      </c>
      <c r="C78" s="134" t="s">
        <v>341</v>
      </c>
      <c r="I78" s="134" t="str">
        <f>'[10]IND tech'!$I$132</f>
        <v>INDGWH</v>
      </c>
      <c r="J78" s="134">
        <v>2050</v>
      </c>
      <c r="V78" s="134" cm="1">
        <f t="array" ref="V78">INDEX('[10]IND tech'!$L$6:$V$182,MATCH($A76&amp;$J76,'[10]IND tech'!$A$6:$A$182&amp;'[10]IND tech'!$J$6:$J$182,0),MATCH(V$5,'[10]IND tech'!$L$3:$V$3,0))</f>
        <v>0.25000000000000006</v>
      </c>
    </row>
    <row r="79" spans="1:40">
      <c r="A79" s="134" t="str">
        <f>A78</f>
        <v>INDGDMTGASN3</v>
      </c>
      <c r="I79" s="134" t="s">
        <v>777</v>
      </c>
      <c r="J79" s="134">
        <v>2050</v>
      </c>
      <c r="V79" s="134">
        <f>SUM(AL76:AM76)</f>
        <v>59.947368421052637</v>
      </c>
    </row>
    <row r="80" spans="1:40">
      <c r="A80" s="134" t="str">
        <f>IF(C80&gt;0,LEFT(C80,12),A79)</f>
        <v>INDGDRHGASN3</v>
      </c>
      <c r="C80" s="134" t="str">
        <f>'[10]IND tech'!D150&amp;"CCS"</f>
        <v>INDGDRHGASN3CCS</v>
      </c>
      <c r="D80" s="134" t="str">
        <f>'[10]IND tech'!E150&amp;"CCS"</f>
        <v>Industrial heating technology Glass &amp; Concrete RH - Gas boiler (Hot Water) - new 3CCS</v>
      </c>
      <c r="E80" s="134" t="s">
        <v>683</v>
      </c>
      <c r="F80" s="134" t="str">
        <f>'[10]IND tech'!$G$132</f>
        <v>INDNGA, INDBGA, INDSNG1, INDSNG2, INDLPG</v>
      </c>
      <c r="H80" s="134" t="str">
        <f>"IGD"&amp;MID(C80,6,2)</f>
        <v>IGDRH</v>
      </c>
      <c r="J80" s="134">
        <v>2020</v>
      </c>
      <c r="K80" s="134">
        <v>2020</v>
      </c>
      <c r="L80" s="124">
        <f>Z80+AA80</f>
        <v>0.77485419206566364</v>
      </c>
      <c r="M80" s="134" cm="1">
        <f t="array" ref="M80">INDEX('[10]IND tech'!$L$6:$V$182,MATCH($A80&amp;$J80,'[10]IND tech'!$A$6:$A$182&amp;'[10]IND tech'!$J$6:$J$182,0),MATCH(M$5,'[10]IND tech'!$L$3:$V$3,0))</f>
        <v>25</v>
      </c>
      <c r="N80" s="295" cm="1">
        <f t="array" ref="N80">INDEX('[10]IND tech'!$L$6:$V$182,MATCH($A80&amp;$J80,'[10]IND tech'!$A$6:$A$182&amp;'[10]IND tech'!$J$6:$J$182,0),MATCH(N$5,'[10]IND tech'!$L$3:$V$3,0))+AD80</f>
        <v>5.2521844574780072</v>
      </c>
      <c r="O80" s="295" cm="1">
        <f t="array" ref="O80">INDEX('[10]IND tech'!$L$6:$V$182,MATCH($A80&amp;$J80,'[10]IND tech'!$A$6:$A$182&amp;'[10]IND tech'!$J$6:$J$182,0),MATCH(O$5,'[10]IND tech'!$L$3:$V$3,0))+AE80</f>
        <v>0.1627128064516129</v>
      </c>
      <c r="P80" s="295" cm="1">
        <f t="array" ref="P80">INDEX('[10]IND tech'!$L$6:$V$182,MATCH($A80&amp;$J80,'[10]IND tech'!$A$6:$A$182&amp;'[10]IND tech'!$J$6:$J$182,0),MATCH(P$5,'[10]IND tech'!$L$3:$V$3,0))+AF80</f>
        <v>2.8637468888888891</v>
      </c>
      <c r="Q80" s="134" cm="1">
        <f t="array" ref="Q80">INDEX('[10]IND tech'!$L$6:$V$182,MATCH($A80&amp;$J80,'[10]IND tech'!$A$6:$A$182&amp;'[10]IND tech'!$J$6:$J$182,0),MATCH(Q$5,'[10]IND tech'!$L$3:$V$3,0))</f>
        <v>3.1536000000000002E-2</v>
      </c>
      <c r="R80" s="134">
        <v>0.95</v>
      </c>
      <c r="S80" s="134" cm="1">
        <f t="array" ref="S80">INDEX('[10]IND tech'!$L$6:$V$182,MATCH($A80&amp;$J80,'[10]IND tech'!$A$6:$A$182&amp;'[10]IND tech'!$J$6:$J$182,0),MATCH(S$5,'[10]IND tech'!$L$3:$V$3,0))</f>
        <v>1</v>
      </c>
      <c r="W80" s="134">
        <v>3</v>
      </c>
      <c r="Z80" s="124" cm="1">
        <f t="array" ref="Z80">INDEX('[10]IND tech'!$L$6:$V$182,MATCH($A80&amp;$J80,'[10]IND tech'!$A$6:$A$182&amp;'[10]IND tech'!$J$6:$J$182,0),MATCH(Z$5,'[10]IND tech'!$L$3:$V$3,0))</f>
        <v>0.93</v>
      </c>
      <c r="AA80" s="134">
        <f>-AB80/(1+AB80)</f>
        <v>-0.15514580793433641</v>
      </c>
      <c r="AB80" s="134">
        <f>'401.c Post comb - Cement kiln'!$B$11*IND_CCS!AN80</f>
        <v>0.18363619354838709</v>
      </c>
      <c r="AD80" s="134">
        <f>'401.c Post comb - Cement kiln'!$B$28*7.45*AN80</f>
        <v>4.9270935483870977</v>
      </c>
      <c r="AE80" s="134">
        <f>'401.c Post comb - Cement kiln'!$B$34*IND_CCS!AN80*7.45</f>
        <v>0.1478128064516129</v>
      </c>
      <c r="AF80" s="134">
        <f>$AG$8*'401.c Post comb - Cement kiln'!$B$35*7.45</f>
        <v>0.58735800000000005</v>
      </c>
      <c r="AG80" s="134">
        <f>8760*3.6/1000000</f>
        <v>3.1536000000000002E-2</v>
      </c>
      <c r="AL80" s="134">
        <f>[10]Emissions!$F$11/Z80</f>
        <v>61.236559139784944</v>
      </c>
      <c r="AM80" s="134">
        <f>IF(RIGHT(H80,2)="HT",$AT$4/$AT$5,0)</f>
        <v>0</v>
      </c>
      <c r="AN80" s="134">
        <f>$AG$8*(SUM($AL80:$AM80))*1000/8760</f>
        <v>0.22045161290322582</v>
      </c>
    </row>
    <row r="81" spans="1:40">
      <c r="A81" s="134" t="str">
        <f>A80</f>
        <v>INDGDRHGASN3</v>
      </c>
      <c r="G81" s="134" t="s">
        <v>352</v>
      </c>
      <c r="J81" s="134">
        <v>2020</v>
      </c>
      <c r="U81" s="134">
        <f>AC81</f>
        <v>5.5112903225806456E-3</v>
      </c>
      <c r="AC81" s="134">
        <f>'401.c Post comb - Cement kiln'!$B$12*IND_CCS!AN80</f>
        <v>5.5112903225806456E-3</v>
      </c>
    </row>
    <row r="82" spans="1:40">
      <c r="A82" s="134" t="str">
        <f>A81</f>
        <v>INDGDRHGASN3</v>
      </c>
      <c r="C82" s="134" t="s">
        <v>341</v>
      </c>
      <c r="I82" s="134" t="str">
        <f>'[10]IND tech'!$I$132</f>
        <v>INDGWH</v>
      </c>
      <c r="J82" s="134">
        <v>2020</v>
      </c>
      <c r="V82" s="134" cm="1">
        <f t="array" ref="V82">INDEX('[10]IND tech'!$L$6:$V$182,MATCH($A80&amp;$J80,'[10]IND tech'!$A$6:$A$182&amp;'[10]IND tech'!$J$6:$J$182,0),MATCH(V$5,'[10]IND tech'!$L$3:$V$3,0))</f>
        <v>6.9999999999999951E-2</v>
      </c>
    </row>
    <row r="83" spans="1:40">
      <c r="A83" s="134" t="str">
        <f>A82</f>
        <v>INDGDRHGASN3</v>
      </c>
      <c r="I83" s="134" t="s">
        <v>777</v>
      </c>
      <c r="J83" s="134">
        <v>2020</v>
      </c>
      <c r="V83" s="134">
        <f>SUM(AL80:AM80)</f>
        <v>61.236559139784944</v>
      </c>
    </row>
    <row r="84" spans="1:40">
      <c r="A84" s="134" t="str">
        <f>IF(C84&gt;0,LEFT(C84,12),A83)</f>
        <v>INDGDRHGASN3</v>
      </c>
      <c r="F84" s="134" t="str">
        <f>F80</f>
        <v>INDNGA, INDBGA, INDSNG1, INDSNG2, INDLPG</v>
      </c>
      <c r="H84" s="134" t="str">
        <f>H80</f>
        <v>IGDRH</v>
      </c>
      <c r="J84" s="134">
        <v>2030</v>
      </c>
      <c r="L84" s="124">
        <f>Z84+AA84</f>
        <v>0.80427689813595693</v>
      </c>
      <c r="N84" s="295" cm="1">
        <f t="array" ref="N84">INDEX('[10]IND tech'!$L$6:$V$182,MATCH($A84&amp;$J84,'[10]IND tech'!$A$6:$A$182&amp;'[10]IND tech'!$J$6:$J$182,0),MATCH(N$5,'[10]IND tech'!$L$3:$V$3,0))+AD84</f>
        <v>4.4956297292069634</v>
      </c>
      <c r="O84" s="295" cm="1">
        <f t="array" ref="O84">INDEX('[10]IND tech'!$L$6:$V$182,MATCH($A84&amp;$J84,'[10]IND tech'!$A$6:$A$182&amp;'[10]IND tech'!$J$6:$J$182,0),MATCH(O$5,'[10]IND tech'!$L$3:$V$3,0))+AE84</f>
        <v>0.1408966191489362</v>
      </c>
      <c r="P84" s="295" cm="1">
        <f t="array" ref="P84">INDEX('[10]IND tech'!$L$6:$V$182,MATCH($A84&amp;$J84,'[10]IND tech'!$A$6:$A$182&amp;'[10]IND tech'!$J$6:$J$182,0),MATCH(P$5,'[10]IND tech'!$L$3:$V$3,0))+AF84</f>
        <v>2.6568024444444447</v>
      </c>
      <c r="W84" s="134">
        <v>3</v>
      </c>
      <c r="Z84" s="124" cm="1">
        <f t="array" ref="Z84">INDEX('[10]IND tech'!$L$6:$V$182,MATCH($A84&amp;$J84,'[10]IND tech'!$A$6:$A$182&amp;'[10]IND tech'!$J$6:$J$182,0),MATCH(Z$5,'[10]IND tech'!$L$3:$V$3,0))</f>
        <v>0.94</v>
      </c>
      <c r="AA84" s="134">
        <f>-AB84/(1+AB84)</f>
        <v>-0.13572310186404299</v>
      </c>
      <c r="AB84" s="134">
        <f>'401.c Post comb - Cement kiln'!$D$11*IND_CCS!AN84</f>
        <v>0.15703659574468085</v>
      </c>
      <c r="AD84" s="134">
        <f>'401.c Post comb - Cement kiln'!$D$28*7.45*AN84</f>
        <v>4.2247206382978728</v>
      </c>
      <c r="AE84" s="134">
        <f>'401.c Post comb - Cement kiln'!$D$34*IND_CCS!AN84*7.45</f>
        <v>0.1267416191489362</v>
      </c>
      <c r="AF84" s="134">
        <f>$AG$8*'401.c Post comb - Cement kiln'!$D$35*7.45</f>
        <v>0.58735800000000005</v>
      </c>
      <c r="AL84" s="134">
        <f>[10]Emissions!$F$11/Z84</f>
        <v>60.585106382978729</v>
      </c>
      <c r="AM84" s="134">
        <f>IF(RIGHT(H84,2)="HT",$AT$4/$AT$5,0)</f>
        <v>0</v>
      </c>
      <c r="AN84" s="134">
        <f>$AG$8*(SUM($AL84:$AM84))*1000/8760</f>
        <v>0.21810638297872342</v>
      </c>
    </row>
    <row r="85" spans="1:40">
      <c r="A85" s="134" t="str">
        <f>A84</f>
        <v>INDGDRHGASN3</v>
      </c>
      <c r="G85" s="134" t="s">
        <v>352</v>
      </c>
      <c r="J85" s="134">
        <v>2030</v>
      </c>
      <c r="U85" s="134">
        <f>AC85</f>
        <v>4.7983404255319152E-3</v>
      </c>
      <c r="AC85" s="134">
        <f>'401.c Post comb - Cement kiln'!$D$12*IND_CCS!AN84</f>
        <v>4.7983404255319152E-3</v>
      </c>
    </row>
    <row r="86" spans="1:40">
      <c r="A86" s="134" t="str">
        <f>A85</f>
        <v>INDGDRHGASN3</v>
      </c>
      <c r="C86" s="134" t="s">
        <v>341</v>
      </c>
      <c r="I86" s="134" t="str">
        <f>'[10]IND tech'!$I$132</f>
        <v>INDGWH</v>
      </c>
      <c r="J86" s="134">
        <v>2030</v>
      </c>
      <c r="V86" s="134" cm="1">
        <f t="array" ref="V86">INDEX('[10]IND tech'!$L$6:$V$182,MATCH($A84&amp;$J84,'[10]IND tech'!$A$6:$A$182&amp;'[10]IND tech'!$J$6:$J$182,0),MATCH(V$5,'[10]IND tech'!$L$3:$V$3,0))</f>
        <v>6.0000000000000053E-2</v>
      </c>
    </row>
    <row r="87" spans="1:40">
      <c r="A87" s="134" t="str">
        <f>A86</f>
        <v>INDGDRHGASN3</v>
      </c>
      <c r="I87" s="134" t="s">
        <v>777</v>
      </c>
      <c r="J87" s="134">
        <v>2030</v>
      </c>
      <c r="V87" s="134">
        <f>SUM(AL84:AM84)</f>
        <v>60.585106382978729</v>
      </c>
    </row>
    <row r="88" spans="1:40">
      <c r="A88" s="134" t="str">
        <f>IF(C88&gt;0,LEFT(C88,12),A87)</f>
        <v>INDGDRHGASN3</v>
      </c>
      <c r="F88" s="134" t="str">
        <f>F84</f>
        <v>INDNGA, INDBGA, INDSNG1, INDSNG2, INDLPG</v>
      </c>
      <c r="H88" s="134" t="str">
        <f>H84</f>
        <v>IGDRH</v>
      </c>
      <c r="J88" s="134">
        <v>2050</v>
      </c>
      <c r="L88" s="124">
        <f>Z88+AA88</f>
        <v>0.82532336287810737</v>
      </c>
      <c r="N88" s="295" cm="1">
        <f t="array" ref="N88">INDEX('[10]IND tech'!$L$6:$V$182,MATCH($A88&amp;$J88,'[10]IND tech'!$A$6:$A$182&amp;'[10]IND tech'!$J$6:$J$182,0),MATCH(N$5,'[10]IND tech'!$L$3:$V$3,0))+AD88</f>
        <v>3.1649282488038284</v>
      </c>
      <c r="O88" s="295" cm="1">
        <f t="array" ref="O88">INDEX('[10]IND tech'!$L$6:$V$182,MATCH($A88&amp;$J88,'[10]IND tech'!$A$6:$A$182&amp;'[10]IND tech'!$J$6:$J$182,0),MATCH(O$5,'[10]IND tech'!$L$3:$V$3,0))+AE88</f>
        <v>9.9485574736842122E-2</v>
      </c>
      <c r="P88" s="295" cm="1">
        <f t="array" ref="P88">INDEX('[10]IND tech'!$L$6:$V$182,MATCH($A88&amp;$J88,'[10]IND tech'!$A$6:$A$182&amp;'[10]IND tech'!$J$6:$J$182,0),MATCH(P$5,'[10]IND tech'!$L$3:$V$3,0))+AF88</f>
        <v>2.6568024444444447</v>
      </c>
      <c r="W88" s="134">
        <v>3</v>
      </c>
      <c r="Z88" s="124" cm="1">
        <f t="array" ref="Z88">INDEX('[10]IND tech'!$L$6:$V$182,MATCH($A88&amp;$J88,'[10]IND tech'!$A$6:$A$182&amp;'[10]IND tech'!$J$6:$J$182,0),MATCH(Z$5,'[10]IND tech'!$L$3:$V$3,0))</f>
        <v>0.95</v>
      </c>
      <c r="AA88" s="134">
        <f>-AB88/(1+AB88)</f>
        <v>-0.12467663712189259</v>
      </c>
      <c r="AB88" s="134">
        <f>'401.c Post comb - Cement kiln'!$F$11*IND_CCS!AN88</f>
        <v>0.14243494736842108</v>
      </c>
      <c r="AD88" s="134">
        <f>'401.c Post comb - Cement kiln'!$F$28*7.45*AN88</f>
        <v>2.8940191578947374</v>
      </c>
      <c r="AE88" s="134">
        <f>'401.c Post comb - Cement kiln'!$F$34*IND_CCS!AN88*7.45</f>
        <v>8.6820574736842127E-2</v>
      </c>
      <c r="AF88" s="134">
        <f>$AG$8*'401.c Post comb - Cement kiln'!$F$35*7.45</f>
        <v>0.58735800000000005</v>
      </c>
      <c r="AL88" s="134">
        <f>[10]Emissions!$F$11/Z88</f>
        <v>59.947368421052637</v>
      </c>
      <c r="AM88" s="134">
        <f>IF(RIGHT(H88,2)="HT",$AT$4/$AT$5,0)</f>
        <v>0</v>
      </c>
      <c r="AN88" s="134">
        <f>$AG$8*(SUM($AL88:$AM88))*1000/8760</f>
        <v>0.21581052631578951</v>
      </c>
    </row>
    <row r="89" spans="1:40">
      <c r="A89" s="134" t="str">
        <f>A88</f>
        <v>INDGDRHGASN3</v>
      </c>
      <c r="G89" s="134" t="s">
        <v>352</v>
      </c>
      <c r="J89" s="134">
        <v>2050</v>
      </c>
      <c r="U89" s="134">
        <f>AC89</f>
        <v>3.8845894736842107E-3</v>
      </c>
      <c r="AC89" s="134">
        <f>'401.c Post comb - Cement kiln'!$F$12*IND_CCS!AN88</f>
        <v>3.8845894736842107E-3</v>
      </c>
    </row>
    <row r="90" spans="1:40">
      <c r="A90" s="134" t="str">
        <f>A89</f>
        <v>INDGDRHGASN3</v>
      </c>
      <c r="C90" s="134" t="s">
        <v>341</v>
      </c>
      <c r="I90" s="134" t="str">
        <f>'[10]IND tech'!$I$132</f>
        <v>INDGWH</v>
      </c>
      <c r="J90" s="134">
        <v>2050</v>
      </c>
      <c r="V90" s="134" cm="1">
        <f t="array" ref="V90">INDEX('[10]IND tech'!$L$6:$V$182,MATCH($A88&amp;$J88,'[10]IND tech'!$A$6:$A$182&amp;'[10]IND tech'!$J$6:$J$182,0),MATCH(V$5,'[10]IND tech'!$L$3:$V$3,0))</f>
        <v>5.0000000000000044E-2</v>
      </c>
    </row>
    <row r="91" spans="1:40">
      <c r="A91" s="134" t="str">
        <f>A90</f>
        <v>INDGDRHGASN3</v>
      </c>
      <c r="I91" s="134" t="s">
        <v>777</v>
      </c>
      <c r="J91" s="134">
        <v>2050</v>
      </c>
      <c r="V91" s="134">
        <f>SUM(AL88:AM88)</f>
        <v>59.947368421052637</v>
      </c>
    </row>
    <row r="92" spans="1:40">
      <c r="A92" s="134" t="str">
        <f>IF(C92&gt;0,LEFT(C92,12),A91)</f>
        <v>INDGDMTGASN4</v>
      </c>
      <c r="C92" s="134" t="str">
        <f>'[10]IND tech'!D153&amp;"CCS"</f>
        <v>INDGDMTGASN4CCS</v>
      </c>
      <c r="D92" s="134" t="str">
        <f>'[10]IND tech'!E153&amp;"CCS"</f>
        <v>Industrial heating technology Glass &amp; Concrete MT - Gas boiler (Hot Water - condensing) - new 4CCS</v>
      </c>
      <c r="E92" s="134" t="s">
        <v>683</v>
      </c>
      <c r="F92" s="134" t="str">
        <f>'[10]IND tech'!$G$132</f>
        <v>INDNGA, INDBGA, INDSNG1, INDSNG2, INDLPG</v>
      </c>
      <c r="H92" s="134" t="str">
        <f>"IGD"&amp;MID(C92,6,2)</f>
        <v>IGDMT</v>
      </c>
      <c r="J92" s="134">
        <v>2020</v>
      </c>
      <c r="K92" s="134">
        <v>2020</v>
      </c>
      <c r="L92" s="124">
        <f>Z92+AA92</f>
        <v>0.86536558892691473</v>
      </c>
      <c r="M92" s="134" cm="1">
        <f t="array" ref="M92">INDEX('[10]IND tech'!$L$6:$V$182,MATCH($A92&amp;$J92,'[10]IND tech'!$A$6:$A$182&amp;'[10]IND tech'!$J$6:$J$182,0),MATCH(M$5,'[10]IND tech'!$L$3:$V$3,0))</f>
        <v>25</v>
      </c>
      <c r="N92" s="295" cm="1">
        <f t="array" ref="N92">INDEX('[10]IND tech'!$L$6:$V$182,MATCH($A92&amp;$J92,'[10]IND tech'!$A$6:$A$182&amp;'[10]IND tech'!$J$6:$J$182,0),MATCH(N$5,'[10]IND tech'!$L$3:$V$3,0))+AD92</f>
        <v>4.8944287128712878</v>
      </c>
      <c r="O92" s="295" cm="1">
        <f t="array" ref="O92">INDEX('[10]IND tech'!$L$6:$V$182,MATCH($A92&amp;$J92,'[10]IND tech'!$A$6:$A$182&amp;'[10]IND tech'!$J$6:$J$182,0),MATCH(O$5,'[10]IND tech'!$L$3:$V$3,0))+AE92</f>
        <v>0.15100486138613864</v>
      </c>
      <c r="P92" s="295" cm="1">
        <f t="array" ref="P92">INDEX('[10]IND tech'!$L$6:$V$182,MATCH($A92&amp;$J92,'[10]IND tech'!$A$6:$A$182&amp;'[10]IND tech'!$J$6:$J$182,0),MATCH(P$5,'[10]IND tech'!$L$3:$V$3,0))+AF92</f>
        <v>2.8637468888888891</v>
      </c>
      <c r="Q92" s="134" cm="1">
        <f t="array" ref="Q92">INDEX('[10]IND tech'!$L$6:$V$182,MATCH($A92&amp;$J92,'[10]IND tech'!$A$6:$A$182&amp;'[10]IND tech'!$J$6:$J$182,0),MATCH(Q$5,'[10]IND tech'!$L$3:$V$3,0))</f>
        <v>3.1536000000000002E-2</v>
      </c>
      <c r="R92" s="134">
        <v>0.95</v>
      </c>
      <c r="S92" s="134" cm="1">
        <f t="array" ref="S92">INDEX('[10]IND tech'!$L$6:$V$182,MATCH($A92&amp;$J92,'[10]IND tech'!$A$6:$A$182&amp;'[10]IND tech'!$J$6:$J$182,0),MATCH(S$5,'[10]IND tech'!$L$3:$V$3,0))</f>
        <v>0</v>
      </c>
      <c r="W92" s="134">
        <v>3</v>
      </c>
      <c r="Z92" s="124" cm="1">
        <f t="array" ref="Z92">INDEX('[10]IND tech'!$L$6:$V$182,MATCH($A92&amp;$J92,'[10]IND tech'!$A$6:$A$182&amp;'[10]IND tech'!$J$6:$J$182,0),MATCH(Z$5,'[10]IND tech'!$L$3:$V$3,0))</f>
        <v>1.01</v>
      </c>
      <c r="AA92" s="134">
        <f>-AB92/(1+AB92)</f>
        <v>-0.14463441107308525</v>
      </c>
      <c r="AB92" s="134">
        <f>'401.c Post comb - Cement kiln'!$B$11*IND_CCS!AN92</f>
        <v>0.16909075247524752</v>
      </c>
      <c r="AD92" s="134">
        <f>'401.c Post comb - Cement kiln'!$B$28*7.45*AN92</f>
        <v>4.5368287128712881</v>
      </c>
      <c r="AE92" s="134">
        <f>'401.c Post comb - Cement kiln'!$B$34*IND_CCS!AN92*7.45</f>
        <v>0.13610486138613864</v>
      </c>
      <c r="AF92" s="134">
        <f>$AG$8*'401.c Post comb - Cement kiln'!$B$35*7.45</f>
        <v>0.58735800000000005</v>
      </c>
      <c r="AG92" s="134">
        <f>8760*3.6/1000000</f>
        <v>3.1536000000000002E-2</v>
      </c>
      <c r="AL92" s="134">
        <f>[10]Emissions!$F$11/Z92</f>
        <v>56.386138613861391</v>
      </c>
      <c r="AM92" s="134">
        <f>IF(RIGHT(H92,2)="HT",$AT$4/$AT$5,0)</f>
        <v>0</v>
      </c>
      <c r="AN92" s="134">
        <f>$AG$8*(SUM($AL92:$AM92))*1000/8760</f>
        <v>0.202990099009901</v>
      </c>
    </row>
    <row r="93" spans="1:40">
      <c r="A93" s="134" t="str">
        <f>A92</f>
        <v>INDGDMTGASN4</v>
      </c>
      <c r="G93" s="134" t="s">
        <v>352</v>
      </c>
      <c r="J93" s="134">
        <v>2020</v>
      </c>
      <c r="U93" s="134">
        <f>AC93</f>
        <v>5.0747524752475254E-3</v>
      </c>
      <c r="AC93" s="134">
        <f>'401.c Post comb - Cement kiln'!$B$12*IND_CCS!AN92</f>
        <v>5.0747524752475254E-3</v>
      </c>
    </row>
    <row r="94" spans="1:40">
      <c r="A94" s="134" t="str">
        <f>A93</f>
        <v>INDGDMTGASN4</v>
      </c>
      <c r="C94" s="134" t="s">
        <v>341</v>
      </c>
      <c r="I94" s="134" t="str">
        <f>'[10]IND tech'!$I$132</f>
        <v>INDGWH</v>
      </c>
      <c r="J94" s="134">
        <v>2020</v>
      </c>
      <c r="V94" s="134" cm="1">
        <f t="array" ref="V94">INDEX('[10]IND tech'!$L$6:$V$182,MATCH($A92&amp;$J92,'[10]IND tech'!$A$6:$A$182&amp;'[10]IND tech'!$J$6:$J$182,0),MATCH(V$5,'[10]IND tech'!$L$3:$V$3,0))</f>
        <v>0.19</v>
      </c>
    </row>
    <row r="95" spans="1:40">
      <c r="A95" s="134" t="str">
        <f>A94</f>
        <v>INDGDMTGASN4</v>
      </c>
      <c r="I95" s="134" t="s">
        <v>777</v>
      </c>
      <c r="J95" s="134">
        <v>2020</v>
      </c>
      <c r="V95" s="134">
        <f>SUM(AL92:AM92)</f>
        <v>56.386138613861391</v>
      </c>
    </row>
    <row r="96" spans="1:40">
      <c r="A96" s="134" t="str">
        <f>IF(C96&gt;0,LEFT(C96,12),A95)</f>
        <v>INDGDMTGASN4</v>
      </c>
      <c r="F96" s="134" t="str">
        <f>F92</f>
        <v>INDNGA, INDBGA, INDSNG1, INDSNG2, INDLPG</v>
      </c>
      <c r="H96" s="134" t="str">
        <f>H92</f>
        <v>IGDMT</v>
      </c>
      <c r="J96" s="134">
        <v>2030</v>
      </c>
      <c r="L96" s="124">
        <f>Z96+AA96</f>
        <v>0.90464963064310355</v>
      </c>
      <c r="N96" s="295" cm="1">
        <f t="array" ref="N96">INDEX('[10]IND tech'!$L$6:$V$182,MATCH($A96&amp;$J96,'[10]IND tech'!$A$6:$A$182&amp;'[10]IND tech'!$J$6:$J$182,0),MATCH(N$5,'[10]IND tech'!$L$3:$V$3,0))+AD96</f>
        <v>4.1535702912621364</v>
      </c>
      <c r="O96" s="295" cm="1">
        <f t="array" ref="O96">INDEX('[10]IND tech'!$L$6:$V$182,MATCH($A96&amp;$J96,'[10]IND tech'!$A$6:$A$182&amp;'[10]IND tech'!$J$6:$J$182,0),MATCH(O$5,'[10]IND tech'!$L$3:$V$3,0))+AE96</f>
        <v>0.12982210873786409</v>
      </c>
      <c r="P96" s="295" cm="1">
        <f t="array" ref="P96">INDEX('[10]IND tech'!$L$6:$V$182,MATCH($A96&amp;$J96,'[10]IND tech'!$A$6:$A$182&amp;'[10]IND tech'!$J$6:$J$182,0),MATCH(P$5,'[10]IND tech'!$L$3:$V$3,0))+AF96</f>
        <v>2.6568024444444447</v>
      </c>
      <c r="W96" s="134">
        <v>3</v>
      </c>
      <c r="Z96" s="124" cm="1">
        <f t="array" ref="Z96">INDEX('[10]IND tech'!$L$6:$V$182,MATCH($A96&amp;$J96,'[10]IND tech'!$A$6:$A$182&amp;'[10]IND tech'!$J$6:$J$182,0),MATCH(Z$5,'[10]IND tech'!$L$3:$V$3,0))</f>
        <v>1.03</v>
      </c>
      <c r="AA96" s="134">
        <f>-AB96/(1+AB96)</f>
        <v>-0.12535036935689645</v>
      </c>
      <c r="AB96" s="134">
        <f>'401.c Post comb - Cement kiln'!$D$11*IND_CCS!AN96</f>
        <v>0.14331495145631068</v>
      </c>
      <c r="AD96" s="134">
        <f>'401.c Post comb - Cement kiln'!$D$28*7.45*AN96</f>
        <v>3.8555702912621364</v>
      </c>
      <c r="AE96" s="134">
        <f>'401.c Post comb - Cement kiln'!$D$34*IND_CCS!AN96*7.45</f>
        <v>0.11566710873786409</v>
      </c>
      <c r="AF96" s="134">
        <f>$AG$8*'401.c Post comb - Cement kiln'!$D$35*7.45</f>
        <v>0.58735800000000005</v>
      </c>
      <c r="AL96" s="134">
        <f>[10]Emissions!$F$11/Z96</f>
        <v>55.291262135922331</v>
      </c>
      <c r="AM96" s="134">
        <f>IF(RIGHT(H96,2)="HT",$AT$4/$AT$5,0)</f>
        <v>0</v>
      </c>
      <c r="AN96" s="134">
        <f>$AG$8*(SUM($AL96:$AM96))*1000/8760</f>
        <v>0.1990485436893204</v>
      </c>
    </row>
    <row r="97" spans="1:40">
      <c r="A97" s="134" t="str">
        <f>A96</f>
        <v>INDGDMTGASN4</v>
      </c>
      <c r="G97" s="134" t="s">
        <v>352</v>
      </c>
      <c r="J97" s="134">
        <v>2030</v>
      </c>
      <c r="U97" s="134">
        <f>AC97</f>
        <v>4.379067961165049E-3</v>
      </c>
      <c r="AC97" s="134">
        <f>'401.c Post comb - Cement kiln'!$D$12*IND_CCS!AN96</f>
        <v>4.379067961165049E-3</v>
      </c>
    </row>
    <row r="98" spans="1:40">
      <c r="A98" s="134" t="str">
        <f>A97</f>
        <v>INDGDMTGASN4</v>
      </c>
      <c r="C98" s="134" t="s">
        <v>341</v>
      </c>
      <c r="I98" s="134" t="str">
        <f>'[10]IND tech'!$I$132</f>
        <v>INDGWH</v>
      </c>
      <c r="J98" s="134">
        <v>2030</v>
      </c>
      <c r="V98" s="134" cm="1">
        <f t="array" ref="V98">INDEX('[10]IND tech'!$L$6:$V$182,MATCH($A96&amp;$J96,'[10]IND tech'!$A$6:$A$182&amp;'[10]IND tech'!$J$6:$J$182,0),MATCH(V$5,'[10]IND tech'!$L$3:$V$3,0))</f>
        <v>0.16999999999999998</v>
      </c>
    </row>
    <row r="99" spans="1:40">
      <c r="A99" s="134" t="str">
        <f>A98</f>
        <v>INDGDMTGASN4</v>
      </c>
      <c r="I99" s="134" t="s">
        <v>777</v>
      </c>
      <c r="J99" s="134">
        <v>2030</v>
      </c>
      <c r="V99" s="134">
        <f>SUM(AL96:AM96)</f>
        <v>55.291262135922331</v>
      </c>
    </row>
    <row r="100" spans="1:40">
      <c r="A100" s="134" t="str">
        <f>IF(C100&gt;0,LEFT(C100,12),A99)</f>
        <v>INDGDMTGASN4</v>
      </c>
      <c r="F100" s="134" t="str">
        <f>F96</f>
        <v>INDNGA, INDBGA, INDSNG1, INDSNG2, INDLPG</v>
      </c>
      <c r="H100" s="134" t="str">
        <f>H96</f>
        <v>IGDMT</v>
      </c>
      <c r="J100" s="134">
        <v>2050</v>
      </c>
      <c r="L100" s="124">
        <f>Z100+AA100</f>
        <v>0.91388254762753918</v>
      </c>
      <c r="N100" s="295" cm="1">
        <f t="array" ref="N100">INDEX('[10]IND tech'!$L$6:$V$182,MATCH($A100&amp;$J100,'[10]IND tech'!$A$6:$A$182&amp;'[10]IND tech'!$J$6:$J$182,0),MATCH(N$5,'[10]IND tech'!$L$3:$V$3,0))+AD100</f>
        <v>2.9672409708737866</v>
      </c>
      <c r="O100" s="295" cm="1">
        <f t="array" ref="O100">INDEX('[10]IND tech'!$L$6:$V$182,MATCH($A100&amp;$J100,'[10]IND tech'!$A$6:$A$182&amp;'[10]IND tech'!$J$6:$J$182,0),MATCH(O$5,'[10]IND tech'!$L$3:$V$3,0))+AE100</f>
        <v>9.2742229126213604E-2</v>
      </c>
      <c r="P100" s="295" cm="1">
        <f t="array" ref="P100">INDEX('[10]IND tech'!$L$6:$V$182,MATCH($A100&amp;$J100,'[10]IND tech'!$A$6:$A$182&amp;'[10]IND tech'!$J$6:$J$182,0),MATCH(P$5,'[10]IND tech'!$L$3:$V$3,0))+AF100</f>
        <v>2.6568024444444447</v>
      </c>
      <c r="W100" s="134">
        <v>3</v>
      </c>
      <c r="Z100" s="124" cm="1">
        <f t="array" ref="Z100">INDEX('[10]IND tech'!$L$6:$V$182,MATCH($A100&amp;$J100,'[10]IND tech'!$A$6:$A$182&amp;'[10]IND tech'!$J$6:$J$182,0),MATCH(Z$5,'[10]IND tech'!$L$3:$V$3,0))</f>
        <v>1.03</v>
      </c>
      <c r="AA100" s="134">
        <f>-AB100/(1+AB100)</f>
        <v>-0.11611745237246091</v>
      </c>
      <c r="AB100" s="134">
        <f>'401.c Post comb - Cement kiln'!$F$11*IND_CCS!AN100</f>
        <v>0.13137203883495147</v>
      </c>
      <c r="AD100" s="134">
        <f>'401.c Post comb - Cement kiln'!$F$28*7.45*AN100</f>
        <v>2.6692409708737865</v>
      </c>
      <c r="AE100" s="134">
        <f>'401.c Post comb - Cement kiln'!$F$34*IND_CCS!AN100*7.45</f>
        <v>8.0077229126213609E-2</v>
      </c>
      <c r="AF100" s="134">
        <f>$AG$8*'401.c Post comb - Cement kiln'!$F$35*7.45</f>
        <v>0.58735800000000005</v>
      </c>
      <c r="AL100" s="134">
        <f>[10]Emissions!$F$11/Z100</f>
        <v>55.291262135922331</v>
      </c>
      <c r="AM100" s="134">
        <f>IF(RIGHT(H100,2)="HT",$AT$4/$AT$5,0)</f>
        <v>0</v>
      </c>
      <c r="AN100" s="134">
        <f>$AG$8*(SUM($AL100:$AM100))*1000/8760</f>
        <v>0.1990485436893204</v>
      </c>
    </row>
    <row r="101" spans="1:40">
      <c r="A101" s="134" t="str">
        <f>A100</f>
        <v>INDGDMTGASN4</v>
      </c>
      <c r="G101" s="134" t="s">
        <v>352</v>
      </c>
      <c r="J101" s="134">
        <v>2050</v>
      </c>
      <c r="U101" s="134">
        <f>AC101</f>
        <v>3.5828737864077669E-3</v>
      </c>
      <c r="AC101" s="134">
        <f>'401.c Post comb - Cement kiln'!$F$12*IND_CCS!AN100</f>
        <v>3.5828737864077669E-3</v>
      </c>
    </row>
    <row r="102" spans="1:40">
      <c r="A102" s="134" t="str">
        <f>A101</f>
        <v>INDGDMTGASN4</v>
      </c>
      <c r="C102" s="134" t="s">
        <v>341</v>
      </c>
      <c r="I102" s="134" t="str">
        <f>'[10]IND tech'!$I$132</f>
        <v>INDGWH</v>
      </c>
      <c r="J102" s="134">
        <v>2050</v>
      </c>
      <c r="V102" s="134" cm="1">
        <f t="array" ref="V102">INDEX('[10]IND tech'!$L$6:$V$182,MATCH($A100&amp;$J100,'[10]IND tech'!$A$6:$A$182&amp;'[10]IND tech'!$J$6:$J$182,0),MATCH(V$5,'[10]IND tech'!$L$3:$V$3,0))</f>
        <v>0.16999999999999998</v>
      </c>
    </row>
    <row r="103" spans="1:40">
      <c r="A103" s="134" t="str">
        <f>A102</f>
        <v>INDGDMTGASN4</v>
      </c>
      <c r="I103" s="134" t="s">
        <v>777</v>
      </c>
      <c r="J103" s="134">
        <v>2050</v>
      </c>
      <c r="V103" s="134">
        <f>SUM(AL100:AM100)</f>
        <v>55.291262135922331</v>
      </c>
    </row>
    <row r="104" spans="1:40">
      <c r="A104" s="134" t="str">
        <f>IF(C104&gt;0,LEFT(C104,12),A103)</f>
        <v>INDGDRHGASN4</v>
      </c>
      <c r="C104" s="134" t="str">
        <f>'[10]IND tech'!D156&amp;"CCS"</f>
        <v>INDGDRHGASN4CCS</v>
      </c>
      <c r="D104" s="134" t="str">
        <f>'[10]IND tech'!E156&amp;"CCS"</f>
        <v>Industrial heating technology Glass &amp; Concrete RH - Gas boiler (Hot Water- condensing) - new 4CCS</v>
      </c>
      <c r="E104" s="134" t="s">
        <v>683</v>
      </c>
      <c r="F104" s="134" t="str">
        <f>'[10]IND tech'!$G$132</f>
        <v>INDNGA, INDBGA, INDSNG1, INDSNG2, INDLPG</v>
      </c>
      <c r="H104" s="134" t="str">
        <f>"IGD"&amp;MID(C104,6,2)</f>
        <v>IGDRH</v>
      </c>
      <c r="J104" s="134">
        <v>2020</v>
      </c>
      <c r="K104" s="134">
        <v>2020</v>
      </c>
      <c r="L104" s="124">
        <f>Z104+AA104</f>
        <v>0.86536558892691473</v>
      </c>
      <c r="M104" s="134" cm="1">
        <f t="array" ref="M104">INDEX('[10]IND tech'!$L$6:$V$182,MATCH($A104&amp;$J104,'[10]IND tech'!$A$6:$A$182&amp;'[10]IND tech'!$J$6:$J$182,0),MATCH(M$5,'[10]IND tech'!$L$3:$V$3,0))</f>
        <v>25</v>
      </c>
      <c r="N104" s="295" cm="1">
        <f t="array" ref="N104">INDEX('[10]IND tech'!$L$6:$V$182,MATCH($A104&amp;$J104,'[10]IND tech'!$A$6:$A$182&amp;'[10]IND tech'!$J$6:$J$182,0),MATCH(N$5,'[10]IND tech'!$L$3:$V$3,0))+AD104</f>
        <v>4.8944287128712878</v>
      </c>
      <c r="O104" s="295" cm="1">
        <f t="array" ref="O104">INDEX('[10]IND tech'!$L$6:$V$182,MATCH($A104&amp;$J104,'[10]IND tech'!$A$6:$A$182&amp;'[10]IND tech'!$J$6:$J$182,0),MATCH(O$5,'[10]IND tech'!$L$3:$V$3,0))+AE104</f>
        <v>0.15100486138613864</v>
      </c>
      <c r="P104" s="295" cm="1">
        <f t="array" ref="P104">INDEX('[10]IND tech'!$L$6:$V$182,MATCH($A104&amp;$J104,'[10]IND tech'!$A$6:$A$182&amp;'[10]IND tech'!$J$6:$J$182,0),MATCH(P$5,'[10]IND tech'!$L$3:$V$3,0))+AF104</f>
        <v>2.8637468888888891</v>
      </c>
      <c r="Q104" s="134" cm="1">
        <f t="array" ref="Q104">INDEX('[10]IND tech'!$L$6:$V$182,MATCH($A104&amp;$J104,'[10]IND tech'!$A$6:$A$182&amp;'[10]IND tech'!$J$6:$J$182,0),MATCH(Q$5,'[10]IND tech'!$L$3:$V$3,0))</f>
        <v>3.1536000000000002E-2</v>
      </c>
      <c r="R104" s="134">
        <v>0.95</v>
      </c>
      <c r="S104" s="134" cm="1">
        <f t="array" ref="S104">INDEX('[10]IND tech'!$L$6:$V$182,MATCH($A104&amp;$J104,'[10]IND tech'!$A$6:$A$182&amp;'[10]IND tech'!$J$6:$J$182,0),MATCH(S$5,'[10]IND tech'!$L$3:$V$3,0))</f>
        <v>0</v>
      </c>
      <c r="W104" s="134">
        <v>3</v>
      </c>
      <c r="Z104" s="124" cm="1">
        <f t="array" ref="Z104">INDEX('[10]IND tech'!$L$6:$V$182,MATCH($A104&amp;$J104,'[10]IND tech'!$A$6:$A$182&amp;'[10]IND tech'!$J$6:$J$182,0),MATCH(Z$5,'[10]IND tech'!$L$3:$V$3,0))</f>
        <v>1.01</v>
      </c>
      <c r="AA104" s="134">
        <f>-AB104/(1+AB104)</f>
        <v>-0.14463441107308525</v>
      </c>
      <c r="AB104" s="134">
        <f>'401.c Post comb - Cement kiln'!$B$11*IND_CCS!AN104</f>
        <v>0.16909075247524752</v>
      </c>
      <c r="AD104" s="134">
        <f>'401.c Post comb - Cement kiln'!$B$28*7.45*AN104</f>
        <v>4.5368287128712881</v>
      </c>
      <c r="AE104" s="134">
        <f>'401.c Post comb - Cement kiln'!$B$34*IND_CCS!AN104*7.45</f>
        <v>0.13610486138613864</v>
      </c>
      <c r="AF104" s="134">
        <f>$AG$8*'401.c Post comb - Cement kiln'!$B$35*7.45</f>
        <v>0.58735800000000005</v>
      </c>
      <c r="AG104" s="134">
        <f>8760*3.6/1000000</f>
        <v>3.1536000000000002E-2</v>
      </c>
      <c r="AL104" s="134">
        <f>[10]Emissions!$F$11/Z104</f>
        <v>56.386138613861391</v>
      </c>
      <c r="AM104" s="134">
        <f>IF(RIGHT(H104,2)="HT",$AT$4/$AT$5,0)</f>
        <v>0</v>
      </c>
      <c r="AN104" s="134">
        <f>$AG$8*(SUM($AL104:$AM104))*1000/8760</f>
        <v>0.202990099009901</v>
      </c>
    </row>
    <row r="105" spans="1:40">
      <c r="A105" s="134" t="str">
        <f>A104</f>
        <v>INDGDRHGASN4</v>
      </c>
      <c r="G105" s="134" t="s">
        <v>352</v>
      </c>
      <c r="J105" s="134">
        <v>2020</v>
      </c>
      <c r="U105" s="134">
        <f>AC105</f>
        <v>5.0747524752475254E-3</v>
      </c>
      <c r="AC105" s="134">
        <f>'401.c Post comb - Cement kiln'!$B$12*IND_CCS!AN104</f>
        <v>5.0747524752475254E-3</v>
      </c>
    </row>
    <row r="106" spans="1:40">
      <c r="A106" s="134" t="str">
        <f>A105</f>
        <v>INDGDRHGASN4</v>
      </c>
      <c r="C106" s="134" t="s">
        <v>341</v>
      </c>
      <c r="I106" s="134" t="str">
        <f>'[10]IND tech'!$I$132</f>
        <v>INDGWH</v>
      </c>
      <c r="J106" s="134">
        <v>2020</v>
      </c>
      <c r="V106" s="134" cm="1">
        <f t="array" ref="V106">INDEX('[10]IND tech'!$L$6:$V$182,MATCH($A104&amp;$J104,'[10]IND tech'!$A$6:$A$182&amp;'[10]IND tech'!$J$6:$J$182,0),MATCH(V$5,'[10]IND tech'!$L$3:$V$3,0))</f>
        <v>-1.0000000000000009E-2</v>
      </c>
    </row>
    <row r="107" spans="1:40">
      <c r="A107" s="134" t="str">
        <f>A106</f>
        <v>INDGDRHGASN4</v>
      </c>
      <c r="I107" s="134" t="s">
        <v>777</v>
      </c>
      <c r="J107" s="134">
        <v>2020</v>
      </c>
      <c r="V107" s="134">
        <f>SUM(AL104:AM104)</f>
        <v>56.386138613861391</v>
      </c>
    </row>
    <row r="108" spans="1:40">
      <c r="A108" s="134" t="str">
        <f>IF(C108&gt;0,LEFT(C108,12),A107)</f>
        <v>INDGDRHGASN4</v>
      </c>
      <c r="F108" s="134" t="str">
        <f>F104</f>
        <v>INDNGA, INDBGA, INDSNG1, INDSNG2, INDLPG</v>
      </c>
      <c r="H108" s="134" t="str">
        <f>H104</f>
        <v>IGDRH</v>
      </c>
      <c r="J108" s="134">
        <v>2030</v>
      </c>
      <c r="L108" s="124">
        <f>Z108+AA108</f>
        <v>0.90464963064310355</v>
      </c>
      <c r="N108" s="295" cm="1">
        <f t="array" ref="N108">INDEX('[10]IND tech'!$L$6:$V$182,MATCH($A108&amp;$J108,'[10]IND tech'!$A$6:$A$182&amp;'[10]IND tech'!$J$6:$J$182,0),MATCH(N$5,'[10]IND tech'!$L$3:$V$3,0))+AD108</f>
        <v>4.1535702912621364</v>
      </c>
      <c r="O108" s="295" cm="1">
        <f t="array" ref="O108">INDEX('[10]IND tech'!$L$6:$V$182,MATCH($A108&amp;$J108,'[10]IND tech'!$A$6:$A$182&amp;'[10]IND tech'!$J$6:$J$182,0),MATCH(O$5,'[10]IND tech'!$L$3:$V$3,0))+AE108</f>
        <v>0.12982210873786409</v>
      </c>
      <c r="P108" s="295" cm="1">
        <f t="array" ref="P108">INDEX('[10]IND tech'!$L$6:$V$182,MATCH($A108&amp;$J108,'[10]IND tech'!$A$6:$A$182&amp;'[10]IND tech'!$J$6:$J$182,0),MATCH(P$5,'[10]IND tech'!$L$3:$V$3,0))+AF108</f>
        <v>2.6568024444444447</v>
      </c>
      <c r="W108" s="134">
        <v>3</v>
      </c>
      <c r="Z108" s="124" cm="1">
        <f t="array" ref="Z108">INDEX('[10]IND tech'!$L$6:$V$182,MATCH($A108&amp;$J108,'[10]IND tech'!$A$6:$A$182&amp;'[10]IND tech'!$J$6:$J$182,0),MATCH(Z$5,'[10]IND tech'!$L$3:$V$3,0))</f>
        <v>1.03</v>
      </c>
      <c r="AA108" s="134">
        <f>-AB108/(1+AB108)</f>
        <v>-0.12535036935689645</v>
      </c>
      <c r="AB108" s="134">
        <f>'401.c Post comb - Cement kiln'!$D$11*IND_CCS!AN108</f>
        <v>0.14331495145631068</v>
      </c>
      <c r="AD108" s="134">
        <f>'401.c Post comb - Cement kiln'!$D$28*7.45*AN108</f>
        <v>3.8555702912621364</v>
      </c>
      <c r="AE108" s="134">
        <f>'401.c Post comb - Cement kiln'!$D$34*IND_CCS!AN108*7.45</f>
        <v>0.11566710873786409</v>
      </c>
      <c r="AF108" s="134">
        <f>$AG$8*'401.c Post comb - Cement kiln'!$D$35*7.45</f>
        <v>0.58735800000000005</v>
      </c>
      <c r="AL108" s="134">
        <f>[10]Emissions!$F$11/Z108</f>
        <v>55.291262135922331</v>
      </c>
      <c r="AM108" s="134">
        <f>IF(RIGHT(H108,2)="HT",$AT$4/$AT$5,0)</f>
        <v>0</v>
      </c>
      <c r="AN108" s="134">
        <f>$AG$8*(SUM($AL108:$AM108))*1000/8760</f>
        <v>0.1990485436893204</v>
      </c>
    </row>
    <row r="109" spans="1:40">
      <c r="A109" s="134" t="str">
        <f>A108</f>
        <v>INDGDRHGASN4</v>
      </c>
      <c r="G109" s="134" t="s">
        <v>352</v>
      </c>
      <c r="J109" s="134">
        <v>2030</v>
      </c>
      <c r="U109" s="134">
        <f>AC109</f>
        <v>4.379067961165049E-3</v>
      </c>
      <c r="AC109" s="134">
        <f>'401.c Post comb - Cement kiln'!$D$12*IND_CCS!AN108</f>
        <v>4.379067961165049E-3</v>
      </c>
    </row>
    <row r="110" spans="1:40">
      <c r="A110" s="134" t="str">
        <f>A109</f>
        <v>INDGDRHGASN4</v>
      </c>
      <c r="C110" s="134" t="s">
        <v>341</v>
      </c>
      <c r="I110" s="134" t="str">
        <f>'[10]IND tech'!$I$132</f>
        <v>INDGWH</v>
      </c>
      <c r="J110" s="134">
        <v>2030</v>
      </c>
      <c r="V110" s="134" cm="1">
        <f t="array" ref="V110">INDEX('[10]IND tech'!$L$6:$V$182,MATCH($A108&amp;$J108,'[10]IND tech'!$A$6:$A$182&amp;'[10]IND tech'!$J$6:$J$182,0),MATCH(V$5,'[10]IND tech'!$L$3:$V$3,0))</f>
        <v>-3.0000000000000027E-2</v>
      </c>
    </row>
    <row r="111" spans="1:40">
      <c r="A111" s="134" t="str">
        <f>A110</f>
        <v>INDGDRHGASN4</v>
      </c>
      <c r="I111" s="134" t="s">
        <v>777</v>
      </c>
      <c r="J111" s="134">
        <v>2030</v>
      </c>
      <c r="V111" s="134">
        <f>SUM(AL108:AM108)</f>
        <v>55.291262135922331</v>
      </c>
    </row>
    <row r="112" spans="1:40">
      <c r="A112" s="134" t="str">
        <f>IF(C112&gt;0,LEFT(C112,12),A111)</f>
        <v>INDGDRHGASN4</v>
      </c>
      <c r="F112" s="134" t="str">
        <f>F108</f>
        <v>INDNGA, INDBGA, INDSNG1, INDSNG2, INDLPG</v>
      </c>
      <c r="H112" s="134" t="str">
        <f>H108</f>
        <v>IGDRH</v>
      </c>
      <c r="J112" s="134">
        <v>2050</v>
      </c>
      <c r="L112" s="124">
        <f>Z112+AA112</f>
        <v>0.91388254762753918</v>
      </c>
      <c r="N112" s="295" cm="1">
        <f t="array" ref="N112">INDEX('[10]IND tech'!$L$6:$V$182,MATCH($A112&amp;$J112,'[10]IND tech'!$A$6:$A$182&amp;'[10]IND tech'!$J$6:$J$182,0),MATCH(N$5,'[10]IND tech'!$L$3:$V$3,0))+AD112</f>
        <v>2.9672409708737866</v>
      </c>
      <c r="O112" s="295" cm="1">
        <f t="array" ref="O112">INDEX('[10]IND tech'!$L$6:$V$182,MATCH($A112&amp;$J112,'[10]IND tech'!$A$6:$A$182&amp;'[10]IND tech'!$J$6:$J$182,0),MATCH(O$5,'[10]IND tech'!$L$3:$V$3,0))+AE112</f>
        <v>9.2742229126213604E-2</v>
      </c>
      <c r="P112" s="295" cm="1">
        <f t="array" ref="P112">INDEX('[10]IND tech'!$L$6:$V$182,MATCH($A112&amp;$J112,'[10]IND tech'!$A$6:$A$182&amp;'[10]IND tech'!$J$6:$J$182,0),MATCH(P$5,'[10]IND tech'!$L$3:$V$3,0))+AF112</f>
        <v>2.6568024444444447</v>
      </c>
      <c r="W112" s="134">
        <v>3</v>
      </c>
      <c r="Z112" s="124" cm="1">
        <f t="array" ref="Z112">INDEX('[10]IND tech'!$L$6:$V$182,MATCH($A112&amp;$J112,'[10]IND tech'!$A$6:$A$182&amp;'[10]IND tech'!$J$6:$J$182,0),MATCH(Z$5,'[10]IND tech'!$L$3:$V$3,0))</f>
        <v>1.03</v>
      </c>
      <c r="AA112" s="134">
        <f>-AB112/(1+AB112)</f>
        <v>-0.11611745237246091</v>
      </c>
      <c r="AB112" s="134">
        <f>'401.c Post comb - Cement kiln'!$F$11*IND_CCS!AN112</f>
        <v>0.13137203883495147</v>
      </c>
      <c r="AD112" s="134">
        <f>'401.c Post comb - Cement kiln'!$F$28*7.45*AN112</f>
        <v>2.6692409708737865</v>
      </c>
      <c r="AE112" s="134">
        <f>'401.c Post comb - Cement kiln'!$F$34*IND_CCS!AN112*7.45</f>
        <v>8.0077229126213609E-2</v>
      </c>
      <c r="AF112" s="134">
        <f>$AG$8*'401.c Post comb - Cement kiln'!$F$35*7.45</f>
        <v>0.58735800000000005</v>
      </c>
      <c r="AL112" s="134">
        <f>[10]Emissions!$F$11/Z112</f>
        <v>55.291262135922331</v>
      </c>
      <c r="AM112" s="134">
        <f>IF(RIGHT(H112,2)="HT",$AT$4/$AT$5,0)</f>
        <v>0</v>
      </c>
      <c r="AN112" s="134">
        <f>$AG$8*(SUM($AL112:$AM112))*1000/8760</f>
        <v>0.1990485436893204</v>
      </c>
    </row>
    <row r="113" spans="1:40">
      <c r="A113" s="134" t="str">
        <f>A112</f>
        <v>INDGDRHGASN4</v>
      </c>
      <c r="G113" s="134" t="s">
        <v>352</v>
      </c>
      <c r="J113" s="134">
        <v>2050</v>
      </c>
      <c r="U113" s="134">
        <f>AC113</f>
        <v>3.5828737864077669E-3</v>
      </c>
      <c r="AC113" s="134">
        <f>'401.c Post comb - Cement kiln'!$F$12*IND_CCS!AN112</f>
        <v>3.5828737864077669E-3</v>
      </c>
    </row>
    <row r="114" spans="1:40">
      <c r="A114" s="134" t="str">
        <f>A113</f>
        <v>INDGDRHGASN4</v>
      </c>
      <c r="C114" s="134" t="s">
        <v>341</v>
      </c>
      <c r="I114" s="134" t="str">
        <f>'[10]IND tech'!$I$132</f>
        <v>INDGWH</v>
      </c>
      <c r="J114" s="134">
        <v>2050</v>
      </c>
      <c r="V114" s="134" cm="1">
        <f t="array" ref="V114">INDEX('[10]IND tech'!$L$6:$V$182,MATCH($A112&amp;$J112,'[10]IND tech'!$A$6:$A$182&amp;'[10]IND tech'!$J$6:$J$182,0),MATCH(V$5,'[10]IND tech'!$L$3:$V$3,0))</f>
        <v>-3.0000000000000027E-2</v>
      </c>
    </row>
    <row r="115" spans="1:40">
      <c r="A115" s="134" t="str">
        <f>A114</f>
        <v>INDGDRHGASN4</v>
      </c>
      <c r="I115" s="134" t="s">
        <v>777</v>
      </c>
      <c r="J115" s="134">
        <v>2050</v>
      </c>
      <c r="V115" s="134">
        <f>SUM(AL112:AM112)</f>
        <v>55.291262135922331</v>
      </c>
    </row>
    <row r="116" spans="1:40">
      <c r="A116" s="134" t="str">
        <f>IF(C116&gt;0,LEFT(C116,12),A115)</f>
        <v>INDGDHTGASN5</v>
      </c>
      <c r="C116" s="134" t="str">
        <f>'[10]IND tech'!D159&amp;"CCS"</f>
        <v>INDGDHTGASN5CCS</v>
      </c>
      <c r="D116" s="134" t="str">
        <f>'[10]IND tech'!E159&amp;"CCS"</f>
        <v>Industrial heating technology Glass &amp; Concrete HT - Gas boiler (Direct firing) - new 5CCS</v>
      </c>
      <c r="E116" s="134" t="s">
        <v>683</v>
      </c>
      <c r="F116" s="134" t="str">
        <f>'[10]IND tech'!$G$132</f>
        <v>INDNGA, INDBGA, INDSNG1, INDSNG2, INDLPG</v>
      </c>
      <c r="H116" s="134" t="str">
        <f>"IGD"&amp;MID(C116,6,2)</f>
        <v>IGDHT</v>
      </c>
      <c r="J116" s="134">
        <v>2020</v>
      </c>
      <c r="K116" s="134">
        <v>2020</v>
      </c>
      <c r="L116" s="124">
        <f>Z116+AA116</f>
        <v>0.52047984127481262</v>
      </c>
      <c r="M116" s="134" cm="1">
        <f t="array" ref="M116">INDEX('[10]IND tech'!$L$6:$V$182,MATCH($A116&amp;$J116,'[10]IND tech'!$A$6:$A$182&amp;'[10]IND tech'!$J$6:$J$182,0),MATCH(M$5,'[10]IND tech'!$L$3:$V$3,0))</f>
        <v>15</v>
      </c>
      <c r="N116" s="295" cm="1">
        <f t="array" ref="N116">INDEX('[10]IND tech'!$L$6:$V$182,MATCH($A116&amp;$J116,'[10]IND tech'!$A$6:$A$182&amp;'[10]IND tech'!$J$6:$J$182,0),MATCH(N$5,'[10]IND tech'!$L$3:$V$3,0))+AD116</f>
        <v>24.831010934871625</v>
      </c>
      <c r="O116" s="295" cm="1">
        <f t="array" ref="O116">INDEX('[10]IND tech'!$L$6:$V$182,MATCH($A116&amp;$J116,'[10]IND tech'!$A$6:$A$182&amp;'[10]IND tech'!$J$6:$J$182,0),MATCH(O$5,'[10]IND tech'!$L$3:$V$3,0))+AE116</f>
        <v>0.74293237350069408</v>
      </c>
      <c r="P116" s="295" cm="1">
        <f t="array" ref="P116">INDEX('[10]IND tech'!$L$6:$V$182,MATCH($A116&amp;$J116,'[10]IND tech'!$A$6:$A$182&amp;'[10]IND tech'!$J$6:$J$182,0),MATCH(P$5,'[10]IND tech'!$L$3:$V$3,0))+AF116</f>
        <v>1.1719760555555556</v>
      </c>
      <c r="Q116" s="134" cm="1">
        <f t="array" ref="Q116">INDEX('[10]IND tech'!$L$6:$V$182,MATCH($A116&amp;$J116,'[10]IND tech'!$A$6:$A$182&amp;'[10]IND tech'!$J$6:$J$182,0),MATCH(Q$5,'[10]IND tech'!$L$3:$V$3,0))</f>
        <v>3.1536000000000002E-2</v>
      </c>
      <c r="R116" s="134">
        <v>0.95</v>
      </c>
      <c r="S116" s="134" cm="1">
        <f t="array" ref="S116">INDEX('[10]IND tech'!$L$6:$V$182,MATCH($A116&amp;$J116,'[10]IND tech'!$A$6:$A$182&amp;'[10]IND tech'!$J$6:$J$182,0),MATCH(S$5,'[10]IND tech'!$L$3:$V$3,0))</f>
        <v>1</v>
      </c>
      <c r="W116" s="134">
        <v>3</v>
      </c>
      <c r="Z116" s="124" cm="1">
        <f t="array" ref="Z116">INDEX('[10]IND tech'!$L$6:$V$182,MATCH($A116&amp;$J116,'[10]IND tech'!$A$6:$A$182&amp;'[10]IND tech'!$J$6:$J$182,0),MATCH(Z$5,'[10]IND tech'!$L$3:$V$3,0))</f>
        <v>1</v>
      </c>
      <c r="AA116" s="134">
        <f>-AB116/(1+AB116)</f>
        <v>-0.47952015872518744</v>
      </c>
      <c r="AB116" s="134">
        <f>'401.c Post comb - Cement kiln'!$B$11*IND_CCS!AN116</f>
        <v>0.92130399815427555</v>
      </c>
      <c r="AD116" s="134">
        <f>'401.c Post comb - Cement kiln'!$B$28*7.45*AN116</f>
        <v>24.719260934871624</v>
      </c>
      <c r="AE116" s="134">
        <f>'401.c Post comb - Cement kiln'!$B$34*IND_CCS!AN116*7.45</f>
        <v>0.74157782804614858</v>
      </c>
      <c r="AF116" s="134">
        <f>$AG$8*'401.c Post comb - Cement kiln'!$B$35*7.45</f>
        <v>0.58735800000000005</v>
      </c>
      <c r="AG116" s="134">
        <f>8760*3.6/1000000</f>
        <v>3.1536000000000002E-2</v>
      </c>
      <c r="AL116" s="134">
        <f>[10]Emissions!$F$11/Z116</f>
        <v>56.95</v>
      </c>
      <c r="AM116" s="134">
        <f>IF(RIGHT(H116,2)="HT",$AT$4/$AT$5,0)</f>
        <v>250.27422240705468</v>
      </c>
      <c r="AN116" s="134">
        <f>$AG$8*(SUM($AL116:$AM116))*1000/8760</f>
        <v>1.1060072006653969</v>
      </c>
    </row>
    <row r="117" spans="1:40">
      <c r="A117" s="134" t="str">
        <f>A116</f>
        <v>INDGDHTGASN5</v>
      </c>
      <c r="G117" s="134" t="s">
        <v>352</v>
      </c>
      <c r="J117" s="134">
        <v>2020</v>
      </c>
      <c r="U117" s="134">
        <f>AC117</f>
        <v>2.7650180016634926E-2</v>
      </c>
      <c r="AC117" s="134">
        <f>'401.c Post comb - Cement kiln'!$B$12*IND_CCS!AN116</f>
        <v>2.7650180016634926E-2</v>
      </c>
    </row>
    <row r="118" spans="1:40">
      <c r="A118" s="134" t="str">
        <f>A117</f>
        <v>INDGDHTGASN5</v>
      </c>
      <c r="C118" s="134" t="s">
        <v>341</v>
      </c>
      <c r="I118" s="134" t="str">
        <f>'[10]IND tech'!$I$132</f>
        <v>INDGWH</v>
      </c>
      <c r="J118" s="134">
        <v>2020</v>
      </c>
      <c r="V118" s="134" cm="1">
        <f t="array" ref="V118">INDEX('[10]IND tech'!$L$6:$V$182,MATCH($A116&amp;$J116,'[10]IND tech'!$A$6:$A$182&amp;'[10]IND tech'!$J$6:$J$182,0),MATCH(V$5,'[10]IND tech'!$L$3:$V$3,0))</f>
        <v>0.3</v>
      </c>
    </row>
    <row r="119" spans="1:40">
      <c r="A119" s="134" t="str">
        <f>A118</f>
        <v>INDGDHTGASN5</v>
      </c>
      <c r="I119" s="134" t="s">
        <v>777</v>
      </c>
      <c r="J119" s="134">
        <v>2020</v>
      </c>
      <c r="V119" s="134">
        <f>SUM(AL116:AM116)</f>
        <v>307.2242224070547</v>
      </c>
    </row>
    <row r="120" spans="1:40">
      <c r="A120" s="134" t="str">
        <f>IF(C120&gt;0,LEFT(C120,12),A119)</f>
        <v>INDGDHTGASN5</v>
      </c>
      <c r="F120" s="134" t="str">
        <f>F116</f>
        <v>INDNGA, INDBGA, INDSNG1, INDSNG2, INDLPG</v>
      </c>
      <c r="H120" s="134" t="str">
        <f>H116</f>
        <v>IGDHT</v>
      </c>
      <c r="J120" s="134">
        <v>2030</v>
      </c>
      <c r="L120" s="124">
        <f>Z120+AA120</f>
        <v>0.55669207816066379</v>
      </c>
      <c r="N120" s="295" cm="1">
        <f t="array" ref="N120">INDEX('[10]IND tech'!$L$6:$V$182,MATCH($A120&amp;$J120,'[10]IND tech'!$A$6:$A$182&amp;'[10]IND tech'!$J$6:$J$182,0),MATCH(N$5,'[10]IND tech'!$L$3:$V$3,0))+AD120</f>
        <v>21.535109476888739</v>
      </c>
      <c r="O120" s="295" cm="1">
        <f t="array" ref="O120">INDEX('[10]IND tech'!$L$6:$V$182,MATCH($A120&amp;$J120,'[10]IND tech'!$A$6:$A$182&amp;'[10]IND tech'!$J$6:$J$182,0),MATCH(O$5,'[10]IND tech'!$L$3:$V$3,0))+AE120</f>
        <v>0.6440214661248439</v>
      </c>
      <c r="P120" s="295" cm="1">
        <f t="array" ref="P120">INDEX('[10]IND tech'!$L$6:$V$182,MATCH($A120&amp;$J120,'[10]IND tech'!$A$6:$A$182&amp;'[10]IND tech'!$J$6:$J$182,0),MATCH(P$5,'[10]IND tech'!$L$3:$V$3,0))+AF120</f>
        <v>1.1616288333333333</v>
      </c>
      <c r="W120" s="134">
        <v>3</v>
      </c>
      <c r="Z120" s="124" cm="1">
        <f t="array" ref="Z120">INDEX('[10]IND tech'!$L$6:$V$182,MATCH($A120&amp;$J120,'[10]IND tech'!$A$6:$A$182&amp;'[10]IND tech'!$J$6:$J$182,0),MATCH(Z$5,'[10]IND tech'!$L$3:$V$3,0))</f>
        <v>1</v>
      </c>
      <c r="AA120" s="134">
        <f>-AB120/(1+AB120)</f>
        <v>-0.44330792183933621</v>
      </c>
      <c r="AB120" s="134">
        <f>'401.c Post comb - Cement kiln'!$D$11*IND_CCS!AN120</f>
        <v>0.79632518447908573</v>
      </c>
      <c r="AD120" s="134">
        <f>'401.c Post comb - Cement kiln'!$D$28*7.45*AN120</f>
        <v>21.423359476888738</v>
      </c>
      <c r="AE120" s="134">
        <f>'401.c Post comb - Cement kiln'!$D$34*IND_CCS!AN120*7.45</f>
        <v>0.64270078430666211</v>
      </c>
      <c r="AF120" s="134">
        <f>$AG$8*'401.c Post comb - Cement kiln'!$D$35*7.45</f>
        <v>0.58735800000000005</v>
      </c>
      <c r="AL120" s="134">
        <f>[10]Emissions!$F$11/Z120</f>
        <v>56.95</v>
      </c>
      <c r="AM120" s="134">
        <f>IF(RIGHT(H120,2)="HT",$AT$4/$AT$5,0)</f>
        <v>250.27422240705468</v>
      </c>
      <c r="AN120" s="134">
        <f>$AG$8*(SUM($AL120:$AM120))*1000/8760</f>
        <v>1.1060072006653969</v>
      </c>
    </row>
    <row r="121" spans="1:40">
      <c r="A121" s="134" t="str">
        <f>A120</f>
        <v>INDGDHTGASN5</v>
      </c>
      <c r="G121" s="134" t="s">
        <v>352</v>
      </c>
      <c r="J121" s="134">
        <v>2030</v>
      </c>
      <c r="U121" s="134">
        <f>AC121</f>
        <v>2.4332158414638733E-2</v>
      </c>
      <c r="AC121" s="134">
        <f>'401.c Post comb - Cement kiln'!$D$12*IND_CCS!AN120</f>
        <v>2.4332158414638733E-2</v>
      </c>
    </row>
    <row r="122" spans="1:40">
      <c r="A122" s="134" t="str">
        <f>A121</f>
        <v>INDGDHTGASN5</v>
      </c>
      <c r="C122" s="134" t="s">
        <v>341</v>
      </c>
      <c r="I122" s="134" t="str">
        <f>'[10]IND tech'!$I$132</f>
        <v>INDGWH</v>
      </c>
      <c r="J122" s="134">
        <v>2030</v>
      </c>
      <c r="V122" s="134" cm="1">
        <f t="array" ref="V122">INDEX('[10]IND tech'!$L$6:$V$182,MATCH($A120&amp;$J120,'[10]IND tech'!$A$6:$A$182&amp;'[10]IND tech'!$J$6:$J$182,0),MATCH(V$5,'[10]IND tech'!$L$3:$V$3,0))</f>
        <v>0.3</v>
      </c>
    </row>
    <row r="123" spans="1:40">
      <c r="A123" s="134" t="str">
        <f>A122</f>
        <v>INDGDHTGASN5</v>
      </c>
      <c r="I123" s="134" t="s">
        <v>777</v>
      </c>
      <c r="J123" s="134">
        <v>2030</v>
      </c>
      <c r="V123" s="134">
        <f>SUM(AL120:AM120)</f>
        <v>307.2242224070547</v>
      </c>
    </row>
    <row r="124" spans="1:40">
      <c r="A124" s="134" t="str">
        <f>IF(C124&gt;0,LEFT(C124,12),A123)</f>
        <v>INDGDHTGASN5</v>
      </c>
      <c r="F124" s="134" t="str">
        <f>F120</f>
        <v>INDNGA, INDBGA, INDSNG1, INDSNG2, INDLPG</v>
      </c>
      <c r="H124" s="134" t="str">
        <f>H120</f>
        <v>IGDHT</v>
      </c>
      <c r="J124" s="134">
        <v>2050</v>
      </c>
      <c r="L124" s="124">
        <f>Z124+AA124</f>
        <v>0.57804645938019894</v>
      </c>
      <c r="N124" s="295" cm="1">
        <f t="array" ref="N124">INDEX('[10]IND tech'!$L$6:$V$182,MATCH($A124&amp;$J124,'[10]IND tech'!$A$6:$A$182&amp;'[10]IND tech'!$J$6:$J$182,0),MATCH(N$5,'[10]IND tech'!$L$3:$V$3,0))+AD124</f>
        <v>14.943306560922974</v>
      </c>
      <c r="O124" s="295" cm="1">
        <f t="array" ref="O124">INDEX('[10]IND tech'!$L$6:$V$182,MATCH($A124&amp;$J124,'[10]IND tech'!$A$6:$A$182&amp;'[10]IND tech'!$J$6:$J$182,0),MATCH(O$5,'[10]IND tech'!$L$3:$V$3,0))+AE124</f>
        <v>0.44609806046405281</v>
      </c>
      <c r="P124" s="295" cm="1">
        <f t="array" ref="P124">INDEX('[10]IND tech'!$L$6:$V$182,MATCH($A124&amp;$J124,'[10]IND tech'!$A$6:$A$182&amp;'[10]IND tech'!$J$6:$J$182,0),MATCH(P$5,'[10]IND tech'!$L$3:$V$3,0))+AF124</f>
        <v>1.1668024444444445</v>
      </c>
      <c r="W124" s="134">
        <v>3</v>
      </c>
      <c r="Z124" s="124" cm="1">
        <f t="array" ref="Z124">INDEX('[10]IND tech'!$L$6:$V$182,MATCH($A124&amp;$J124,'[10]IND tech'!$A$6:$A$182&amp;'[10]IND tech'!$J$6:$J$182,0),MATCH(Z$5,'[10]IND tech'!$L$3:$V$3,0))</f>
        <v>1</v>
      </c>
      <c r="AA124" s="134">
        <f>-AB124/(1+AB124)</f>
        <v>-0.42195354061980106</v>
      </c>
      <c r="AB124" s="134">
        <f>'401.c Post comb - Cement kiln'!$F$11*IND_CCS!AN124</f>
        <v>0.72996475243916203</v>
      </c>
      <c r="AD124" s="134">
        <f>'401.c Post comb - Cement kiln'!$F$28*7.45*AN124</f>
        <v>14.831556560922973</v>
      </c>
      <c r="AE124" s="134">
        <f>'401.c Post comb - Cement kiln'!$F$34*IND_CCS!AN124*7.45</f>
        <v>0.44494669682768917</v>
      </c>
      <c r="AF124" s="134">
        <f>$AG$8*'401.c Post comb - Cement kiln'!$F$35*7.45</f>
        <v>0.58735800000000005</v>
      </c>
      <c r="AL124" s="134">
        <f>[10]Emissions!$F$11/Z124</f>
        <v>56.95</v>
      </c>
      <c r="AM124" s="134">
        <f>IF(RIGHT(H124,2)="HT",$AT$4/$AT$5,0)</f>
        <v>250.27422240705468</v>
      </c>
      <c r="AN124" s="134">
        <f>$AG$8*(SUM($AL124:$AM124))*1000/8760</f>
        <v>1.1060072006653969</v>
      </c>
    </row>
    <row r="125" spans="1:40">
      <c r="A125" s="134" t="str">
        <f>A124</f>
        <v>INDGDHTGASN5</v>
      </c>
      <c r="G125" s="134" t="s">
        <v>352</v>
      </c>
      <c r="J125" s="134">
        <v>2050</v>
      </c>
      <c r="U125" s="134">
        <f>AC125</f>
        <v>1.9908129611977143E-2</v>
      </c>
      <c r="AC125" s="134">
        <f>'401.c Post comb - Cement kiln'!$F$12*IND_CCS!AN124</f>
        <v>1.9908129611977143E-2</v>
      </c>
    </row>
    <row r="126" spans="1:40">
      <c r="A126" s="134" t="str">
        <f>A125</f>
        <v>INDGDHTGASN5</v>
      </c>
      <c r="C126" s="134" t="s">
        <v>341</v>
      </c>
      <c r="I126" s="134" t="str">
        <f>'[10]IND tech'!$I$132</f>
        <v>INDGWH</v>
      </c>
      <c r="J126" s="134">
        <v>2050</v>
      </c>
      <c r="V126" s="134" cm="1">
        <f t="array" ref="V126">INDEX('[10]IND tech'!$L$6:$V$182,MATCH($A124&amp;$J124,'[10]IND tech'!$A$6:$A$182&amp;'[10]IND tech'!$J$6:$J$182,0),MATCH(V$5,'[10]IND tech'!$L$3:$V$3,0))</f>
        <v>0.3</v>
      </c>
    </row>
    <row r="127" spans="1:40">
      <c r="A127" s="134" t="str">
        <f>A126</f>
        <v>INDGDHTGASN5</v>
      </c>
      <c r="I127" s="134" t="s">
        <v>777</v>
      </c>
      <c r="J127" s="134">
        <v>2050</v>
      </c>
      <c r="V127" s="134">
        <f>SUM(AL124:AM124)</f>
        <v>307.2242224070547</v>
      </c>
    </row>
    <row r="128" spans="1:40">
      <c r="A128" s="134" t="str">
        <f>IF(C128&gt;0,LEFT(C128,12),A127)</f>
        <v>INDGDMTGASN5</v>
      </c>
      <c r="C128" s="134" t="str">
        <f>'[10]IND tech'!D162&amp;"CCS"</f>
        <v>INDGDMTGASN5CCS</v>
      </c>
      <c r="D128" s="134" t="str">
        <f>'[10]IND tech'!E162&amp;"CCS"</f>
        <v>Industrial heating technology Glass &amp; Concrete MT - Gas boiler (Direct firing) - new 5CCS</v>
      </c>
      <c r="E128" s="134" t="s">
        <v>683</v>
      </c>
      <c r="F128" s="134" t="str">
        <f>'[10]IND tech'!$G$132</f>
        <v>INDNGA, INDBGA, INDSNG1, INDSNG2, INDLPG</v>
      </c>
      <c r="H128" s="134" t="str">
        <f>"IGD"&amp;MID(C128,6,2)</f>
        <v>IGDMT</v>
      </c>
      <c r="J128" s="134">
        <v>2020</v>
      </c>
      <c r="K128" s="134">
        <v>2020</v>
      </c>
      <c r="L128" s="124">
        <f>Z128+AA128</f>
        <v>0.85413022270950156</v>
      </c>
      <c r="M128" s="134" cm="1">
        <f t="array" ref="M128">INDEX('[10]IND tech'!$L$6:$V$182,MATCH($A128&amp;$J128,'[10]IND tech'!$A$6:$A$182&amp;'[10]IND tech'!$J$6:$J$182,0),MATCH(M$5,'[10]IND tech'!$L$3:$V$3,0))</f>
        <v>25</v>
      </c>
      <c r="N128" s="295" cm="1">
        <f t="array" ref="N128">INDEX('[10]IND tech'!$L$6:$V$182,MATCH($A128&amp;$J128,'[10]IND tech'!$A$6:$A$182&amp;'[10]IND tech'!$J$6:$J$182,0),MATCH(N$5,'[10]IND tech'!$L$3:$V$3,0))+AD128</f>
        <v>4.6939470000000005</v>
      </c>
      <c r="O128" s="295" cm="1">
        <f t="array" ref="O128">INDEX('[10]IND tech'!$L$6:$V$182,MATCH($A128&amp;$J128,'[10]IND tech'!$A$6:$A$182&amp;'[10]IND tech'!$J$6:$J$182,0),MATCH(O$5,'[10]IND tech'!$L$3:$V$3,0))+AE128</f>
        <v>0.13882045545454547</v>
      </c>
      <c r="P128" s="295" cm="1">
        <f t="array" ref="P128">INDEX('[10]IND tech'!$L$6:$V$182,MATCH($A128&amp;$J128,'[10]IND tech'!$A$6:$A$182&amp;'[10]IND tech'!$J$6:$J$182,0),MATCH(P$5,'[10]IND tech'!$L$3:$V$3,0))+AF128</f>
        <v>1.1719760555555556</v>
      </c>
      <c r="Q128" s="134" cm="1">
        <f t="array" ref="Q128">INDEX('[10]IND tech'!$L$6:$V$182,MATCH($A128&amp;$J128,'[10]IND tech'!$A$6:$A$182&amp;'[10]IND tech'!$J$6:$J$182,0),MATCH(Q$5,'[10]IND tech'!$L$3:$V$3,0))</f>
        <v>3.1536000000000002E-2</v>
      </c>
      <c r="R128" s="134">
        <v>0.95</v>
      </c>
      <c r="S128" s="134" cm="1">
        <f t="array" ref="S128">INDEX('[10]IND tech'!$L$6:$V$182,MATCH($A128&amp;$J128,'[10]IND tech'!$A$6:$A$182&amp;'[10]IND tech'!$J$6:$J$182,0),MATCH(S$5,'[10]IND tech'!$L$3:$V$3,0))</f>
        <v>1</v>
      </c>
      <c r="W128" s="134">
        <v>3</v>
      </c>
      <c r="Z128" s="124" cm="1">
        <f t="array" ref="Z128">INDEX('[10]IND tech'!$L$6:$V$182,MATCH($A128&amp;$J128,'[10]IND tech'!$A$6:$A$182&amp;'[10]IND tech'!$J$6:$J$182,0),MATCH(Z$5,'[10]IND tech'!$L$3:$V$3,0))</f>
        <v>1</v>
      </c>
      <c r="AA128" s="134">
        <f>-AB128/(1+AB128)</f>
        <v>-0.14586977729049841</v>
      </c>
      <c r="AB128" s="134">
        <f>'401.c Post comb - Cement kiln'!$B$11*IND_CCS!AN128</f>
        <v>0.17078166000000003</v>
      </c>
      <c r="AD128" s="134">
        <f>'401.c Post comb - Cement kiln'!$B$28*7.45*AN128</f>
        <v>4.5821970000000007</v>
      </c>
      <c r="AE128" s="134">
        <f>'401.c Post comb - Cement kiln'!$B$34*IND_CCS!AN128*7.45</f>
        <v>0.13746591</v>
      </c>
      <c r="AF128" s="134">
        <f>$AG$8*'401.c Post comb - Cement kiln'!$B$35*7.45</f>
        <v>0.58735800000000005</v>
      </c>
      <c r="AG128" s="134">
        <f>8760*3.6/1000000</f>
        <v>3.1536000000000002E-2</v>
      </c>
      <c r="AL128" s="134">
        <f>[10]Emissions!$F$11/Z128</f>
        <v>56.95</v>
      </c>
      <c r="AM128" s="134">
        <f>IF(RIGHT(H128,2)="HT",$AT$4/$AT$5,0)</f>
        <v>0</v>
      </c>
      <c r="AN128" s="134">
        <f>$AG$8*(SUM($AL128:$AM128))*1000/8760</f>
        <v>0.20502000000000004</v>
      </c>
    </row>
    <row r="129" spans="1:40">
      <c r="A129" s="134" t="str">
        <f>A128</f>
        <v>INDGDMTGASN5</v>
      </c>
      <c r="G129" s="134" t="s">
        <v>352</v>
      </c>
      <c r="J129" s="134">
        <v>2020</v>
      </c>
      <c r="U129" s="134">
        <f>AC129</f>
        <v>5.1255000000000016E-3</v>
      </c>
      <c r="AC129" s="134">
        <f>'401.c Post comb - Cement kiln'!$B$12*IND_CCS!AN128</f>
        <v>5.1255000000000016E-3</v>
      </c>
    </row>
    <row r="130" spans="1:40">
      <c r="A130" s="134" t="str">
        <f>A129</f>
        <v>INDGDMTGASN5</v>
      </c>
      <c r="C130" s="134" t="s">
        <v>341</v>
      </c>
      <c r="I130" s="134" t="str">
        <f>'[10]IND tech'!$I$132</f>
        <v>INDGWH</v>
      </c>
      <c r="J130" s="134">
        <v>2020</v>
      </c>
      <c r="V130" s="134" cm="1">
        <f t="array" ref="V130">INDEX('[10]IND tech'!$L$6:$V$182,MATCH($A128&amp;$J128,'[10]IND tech'!$A$6:$A$182&amp;'[10]IND tech'!$J$6:$J$182,0),MATCH(V$5,'[10]IND tech'!$L$3:$V$3,0))</f>
        <v>0.2</v>
      </c>
    </row>
    <row r="131" spans="1:40">
      <c r="A131" s="134" t="str">
        <f>A130</f>
        <v>INDGDMTGASN5</v>
      </c>
      <c r="I131" s="134" t="s">
        <v>777</v>
      </c>
      <c r="J131" s="134">
        <v>2020</v>
      </c>
      <c r="V131" s="134">
        <f>SUM(AL128:AM128)</f>
        <v>56.95</v>
      </c>
    </row>
    <row r="132" spans="1:40">
      <c r="A132" s="134" t="str">
        <f>IF(C132&gt;0,LEFT(C132,12),A131)</f>
        <v>INDGDMTGASN5</v>
      </c>
      <c r="F132" s="134" t="str">
        <f>F128</f>
        <v>INDNGA, INDBGA, INDSNG1, INDSNG2, INDLPG</v>
      </c>
      <c r="H132" s="134" t="str">
        <f>H128</f>
        <v>IGDMT</v>
      </c>
      <c r="J132" s="134">
        <v>2030</v>
      </c>
      <c r="L132" s="124">
        <f>Z132+AA132</f>
        <v>0.87137282348496148</v>
      </c>
      <c r="N132" s="295" cm="1">
        <f t="array" ref="N132">INDEX('[10]IND tech'!$L$6:$V$182,MATCH($A132&amp;$J132,'[10]IND tech'!$A$6:$A$182&amp;'[10]IND tech'!$J$6:$J$182,0),MATCH(N$5,'[10]IND tech'!$L$3:$V$3,0))+AD132</f>
        <v>4.0829874000000013</v>
      </c>
      <c r="O132" s="295" cm="1">
        <f t="array" ref="O132">INDEX('[10]IND tech'!$L$6:$V$182,MATCH($A132&amp;$J132,'[10]IND tech'!$A$6:$A$182&amp;'[10]IND tech'!$J$6:$J$182,0),MATCH(O$5,'[10]IND tech'!$L$3:$V$3,0))+AE132</f>
        <v>0.12045780381818183</v>
      </c>
      <c r="P132" s="295" cm="1">
        <f t="array" ref="P132">INDEX('[10]IND tech'!$L$6:$V$182,MATCH($A132&amp;$J132,'[10]IND tech'!$A$6:$A$182&amp;'[10]IND tech'!$J$6:$J$182,0),MATCH(P$5,'[10]IND tech'!$L$3:$V$3,0))+AF132</f>
        <v>1.1616288333333333</v>
      </c>
      <c r="W132" s="134">
        <v>3</v>
      </c>
      <c r="Z132" s="124" cm="1">
        <f t="array" ref="Z132">INDEX('[10]IND tech'!$L$6:$V$182,MATCH($A132&amp;$J132,'[10]IND tech'!$A$6:$A$182&amp;'[10]IND tech'!$J$6:$J$182,0),MATCH(Z$5,'[10]IND tech'!$L$3:$V$3,0))</f>
        <v>1</v>
      </c>
      <c r="AA132" s="134">
        <f>-AB132/(1+AB132)</f>
        <v>-0.12862717651503852</v>
      </c>
      <c r="AB132" s="134">
        <f>'401.c Post comb - Cement kiln'!$D$11*IND_CCS!AN132</f>
        <v>0.14761440000000001</v>
      </c>
      <c r="AD132" s="134">
        <f>'401.c Post comb - Cement kiln'!$D$28*7.45*AN132</f>
        <v>3.971237400000001</v>
      </c>
      <c r="AE132" s="134">
        <f>'401.c Post comb - Cement kiln'!$D$34*IND_CCS!AN132*7.45</f>
        <v>0.11913712200000001</v>
      </c>
      <c r="AF132" s="134">
        <f>$AG$8*'401.c Post comb - Cement kiln'!$D$35*7.45</f>
        <v>0.58735800000000005</v>
      </c>
      <c r="AL132" s="134">
        <f>[10]Emissions!$F$11/Z132</f>
        <v>56.95</v>
      </c>
      <c r="AM132" s="134">
        <f>IF(RIGHT(H132,2)="HT",$AT$4/$AT$5,0)</f>
        <v>0</v>
      </c>
      <c r="AN132" s="134">
        <f>$AG$8*(SUM($AL132:$AM132))*1000/8760</f>
        <v>0.20502000000000004</v>
      </c>
    </row>
    <row r="133" spans="1:40">
      <c r="A133" s="134" t="str">
        <f>A132</f>
        <v>INDGDMTGASN5</v>
      </c>
      <c r="G133" s="134" t="s">
        <v>352</v>
      </c>
      <c r="J133" s="134">
        <v>2030</v>
      </c>
      <c r="U133" s="134">
        <f>AC133</f>
        <v>4.5104400000000001E-3</v>
      </c>
      <c r="AC133" s="134">
        <f>'401.c Post comb - Cement kiln'!$D$12*IND_CCS!AN132</f>
        <v>4.5104400000000001E-3</v>
      </c>
    </row>
    <row r="134" spans="1:40">
      <c r="A134" s="134" t="str">
        <f>A133</f>
        <v>INDGDMTGASN5</v>
      </c>
      <c r="C134" s="134" t="s">
        <v>341</v>
      </c>
      <c r="I134" s="134" t="str">
        <f>'[10]IND tech'!$I$132</f>
        <v>INDGWH</v>
      </c>
      <c r="J134" s="134">
        <v>2030</v>
      </c>
      <c r="V134" s="134" cm="1">
        <f t="array" ref="V134">INDEX('[10]IND tech'!$L$6:$V$182,MATCH($A132&amp;$J132,'[10]IND tech'!$A$6:$A$182&amp;'[10]IND tech'!$J$6:$J$182,0),MATCH(V$5,'[10]IND tech'!$L$3:$V$3,0))</f>
        <v>0.2</v>
      </c>
    </row>
    <row r="135" spans="1:40">
      <c r="A135" s="134" t="str">
        <f>A134</f>
        <v>INDGDMTGASN5</v>
      </c>
      <c r="I135" s="134" t="s">
        <v>777</v>
      </c>
      <c r="J135" s="134">
        <v>2030</v>
      </c>
      <c r="V135" s="134">
        <f>SUM(AL132:AM132)</f>
        <v>56.95</v>
      </c>
    </row>
    <row r="136" spans="1:40">
      <c r="A136" s="134" t="str">
        <f>IF(C136&gt;0,LEFT(C136,12),A135)</f>
        <v>INDGDMTGASN5</v>
      </c>
      <c r="F136" s="134" t="str">
        <f>F132</f>
        <v>INDNGA, INDBGA, INDSNG1, INDSNG2, INDLPG</v>
      </c>
      <c r="H136" s="134" t="str">
        <f>H132</f>
        <v>IGDMT</v>
      </c>
      <c r="J136" s="134">
        <v>2050</v>
      </c>
      <c r="L136" s="124">
        <f>Z136+AA136</f>
        <v>0.88081421056321729</v>
      </c>
      <c r="N136" s="295" cm="1">
        <f t="array" ref="N136">INDEX('[10]IND tech'!$L$6:$V$182,MATCH($A136&amp;$J136,'[10]IND tech'!$A$6:$A$182&amp;'[10]IND tech'!$J$6:$J$182,0),MATCH(N$5,'[10]IND tech'!$L$3:$V$3,0))+AD136</f>
        <v>2.8610682000000005</v>
      </c>
      <c r="O136" s="295" cm="1">
        <f t="array" ref="O136">INDEX('[10]IND tech'!$L$6:$V$182,MATCH($A136&amp;$J136,'[10]IND tech'!$A$6:$A$182&amp;'[10]IND tech'!$J$6:$J$182,0),MATCH(O$5,'[10]IND tech'!$L$3:$V$3,0))+AE136</f>
        <v>8.3630909636363659E-2</v>
      </c>
      <c r="P136" s="295" cm="1">
        <f t="array" ref="P136">INDEX('[10]IND tech'!$L$6:$V$182,MATCH($A136&amp;$J136,'[10]IND tech'!$A$6:$A$182&amp;'[10]IND tech'!$J$6:$J$182,0),MATCH(P$5,'[10]IND tech'!$L$3:$V$3,0))+AF136</f>
        <v>1.1668024444444445</v>
      </c>
      <c r="W136" s="134">
        <v>3</v>
      </c>
      <c r="Z136" s="124" cm="1">
        <f t="array" ref="Z136">INDEX('[10]IND tech'!$L$6:$V$182,MATCH($A136&amp;$J136,'[10]IND tech'!$A$6:$A$182&amp;'[10]IND tech'!$J$6:$J$182,0),MATCH(Z$5,'[10]IND tech'!$L$3:$V$3,0))</f>
        <v>1</v>
      </c>
      <c r="AA136" s="134">
        <f>-AB136/(1+AB136)</f>
        <v>-0.11918578943678274</v>
      </c>
      <c r="AB136" s="134">
        <f>'401.c Post comb - Cement kiln'!$F$11*IND_CCS!AN136</f>
        <v>0.13531320000000002</v>
      </c>
      <c r="AD136" s="134">
        <f>'401.c Post comb - Cement kiln'!$F$28*7.45*AN136</f>
        <v>2.7493182000000007</v>
      </c>
      <c r="AE136" s="134">
        <f>'401.c Post comb - Cement kiln'!$F$34*IND_CCS!AN136*7.45</f>
        <v>8.2479546000000015E-2</v>
      </c>
      <c r="AF136" s="134">
        <f>$AG$8*'401.c Post comb - Cement kiln'!$F$35*7.45</f>
        <v>0.58735800000000005</v>
      </c>
      <c r="AL136" s="134">
        <f>[10]Emissions!$F$11/Z136</f>
        <v>56.95</v>
      </c>
      <c r="AM136" s="134">
        <f>IF(RIGHT(H136,2)="HT",$AT$4/$AT$5,0)</f>
        <v>0</v>
      </c>
      <c r="AN136" s="134">
        <f>$AG$8*(SUM($AL136:$AM136))*1000/8760</f>
        <v>0.20502000000000004</v>
      </c>
    </row>
    <row r="137" spans="1:40">
      <c r="A137" s="134" t="str">
        <f>A136</f>
        <v>INDGDMTGASN5</v>
      </c>
      <c r="G137" s="134" t="s">
        <v>352</v>
      </c>
      <c r="J137" s="134">
        <v>2050</v>
      </c>
      <c r="U137" s="134">
        <f>AC137</f>
        <v>3.6903600000000002E-3</v>
      </c>
      <c r="AC137" s="134">
        <f>'401.c Post comb - Cement kiln'!$F$12*IND_CCS!AN136</f>
        <v>3.6903600000000002E-3</v>
      </c>
    </row>
    <row r="138" spans="1:40">
      <c r="A138" s="134" t="str">
        <f>A137</f>
        <v>INDGDMTGASN5</v>
      </c>
      <c r="C138" s="134" t="s">
        <v>341</v>
      </c>
      <c r="I138" s="134" t="str">
        <f>'[10]IND tech'!$I$132</f>
        <v>INDGWH</v>
      </c>
      <c r="J138" s="134">
        <v>2050</v>
      </c>
      <c r="V138" s="134" cm="1">
        <f t="array" ref="V138">INDEX('[10]IND tech'!$L$6:$V$182,MATCH($A136&amp;$J136,'[10]IND tech'!$A$6:$A$182&amp;'[10]IND tech'!$J$6:$J$182,0),MATCH(V$5,'[10]IND tech'!$L$3:$V$3,0))</f>
        <v>0.2</v>
      </c>
    </row>
    <row r="139" spans="1:40">
      <c r="A139" s="134" t="str">
        <f>A138</f>
        <v>INDGDMTGASN5</v>
      </c>
      <c r="I139" s="134" t="s">
        <v>777</v>
      </c>
      <c r="J139" s="134">
        <v>2050</v>
      </c>
      <c r="V139" s="134">
        <f>SUM(AL136:AM136)</f>
        <v>56.95</v>
      </c>
    </row>
    <row r="140" spans="1:40">
      <c r="A140" s="134" t="str">
        <f>IF(C140&gt;0,LEFT(C140,12),A139)</f>
        <v>INDGDHTCOAN1</v>
      </c>
      <c r="C140" s="134" t="str">
        <f>'[10]IND tech'!D165&amp;"CCS"</f>
        <v>INDGDHTCOAN1CCS</v>
      </c>
      <c r="D140" s="134" t="str">
        <f>'[10]IND tech'!E165&amp;"CCS"</f>
        <v>Industrial heating technology Glass &amp; Concrete HT - Coal boiler (Steam) - new 1CCS</v>
      </c>
      <c r="E140" s="134" t="s">
        <v>683</v>
      </c>
      <c r="F140" s="134" t="str">
        <f>'[10]IND tech'!$G$165</f>
        <v>INDCOA</v>
      </c>
      <c r="H140" s="134" t="str">
        <f>"IGD"&amp;MID(C140,6,2)</f>
        <v>IGDHT</v>
      </c>
      <c r="J140" s="134">
        <v>2020</v>
      </c>
      <c r="K140" s="134">
        <v>2020</v>
      </c>
      <c r="L140" s="124">
        <f>Z140+AA140</f>
        <v>0.40482387898642241</v>
      </c>
      <c r="M140" s="134" cm="1">
        <f t="array" ref="M140">INDEX('[10]IND tech'!$L$6:$V$182,MATCH($A140&amp;$J140,'[10]IND tech'!$A$6:$A$182&amp;'[10]IND tech'!$J$6:$J$182,0),MATCH(M$5,'[10]IND tech'!$L$3:$V$3,0))</f>
        <v>25</v>
      </c>
      <c r="N140" s="295" cm="1">
        <f t="array" ref="N140">INDEX('[10]IND tech'!$L$6:$V$182,MATCH($A140&amp;$J140,'[10]IND tech'!$A$6:$A$182&amp;'[10]IND tech'!$J$6:$J$182,0),MATCH(N$5,'[10]IND tech'!$L$3:$V$3,0))+AD140</f>
        <v>29.010599889927803</v>
      </c>
      <c r="O140" s="295" cm="1">
        <f t="array" ref="O140">INDEX('[10]IND tech'!$L$6:$V$182,MATCH($A140&amp;$J140,'[10]IND tech'!$A$6:$A$182&amp;'[10]IND tech'!$J$6:$J$182,0),MATCH(O$5,'[10]IND tech'!$L$3:$V$3,0))+AE140</f>
        <v>1.0096329966978339</v>
      </c>
      <c r="P140" s="295" cm="1">
        <f t="array" ref="P140">INDEX('[10]IND tech'!$L$6:$V$182,MATCH($A140&amp;$J140,'[10]IND tech'!$A$6:$A$182&amp;'[10]IND tech'!$J$6:$J$182,0),MATCH(P$5,'[10]IND tech'!$L$3:$V$3,0))+AF140</f>
        <v>4.5255107777777779</v>
      </c>
      <c r="Q140" s="134" cm="1">
        <f t="array" ref="Q140">INDEX('[10]IND tech'!$L$6:$V$182,MATCH($A140&amp;$J140,'[10]IND tech'!$A$6:$A$182&amp;'[10]IND tech'!$J$6:$J$182,0),MATCH(Q$5,'[10]IND tech'!$L$3:$V$3,0))</f>
        <v>3.1536000000000002E-2</v>
      </c>
      <c r="R140" s="134">
        <v>0.95</v>
      </c>
      <c r="S140" s="134" cm="1">
        <f t="array" ref="S140">INDEX('[10]IND tech'!$L$6:$V$182,MATCH($A140&amp;$J140,'[10]IND tech'!$A$6:$A$182&amp;'[10]IND tech'!$J$6:$J$182,0),MATCH(S$5,'[10]IND tech'!$L$3:$V$3,0))</f>
        <v>1</v>
      </c>
      <c r="W140" s="134">
        <v>3</v>
      </c>
      <c r="Z140" s="124" cm="1">
        <f t="array" ref="Z140">INDEX('[10]IND tech'!$L$6:$V$182,MATCH($A140&amp;$J140,'[10]IND tech'!$A$6:$A$182&amp;'[10]IND tech'!$J$6:$J$182,0),MATCH(Z$5,'[10]IND tech'!$L$3:$V$3,0))</f>
        <v>0.89</v>
      </c>
      <c r="AA140" s="134">
        <f>-AB140/(1+AB140)</f>
        <v>-0.4851761210135776</v>
      </c>
      <c r="AB140" s="134">
        <f>'401.c Post comb - Cement kiln'!$B$11*IND_CCS!AN140</f>
        <v>0.94241184377225307</v>
      </c>
      <c r="AD140" s="134">
        <f>'401.c Post comb - Cement kiln'!$B$28*7.45*AN140</f>
        <v>25.285599889927802</v>
      </c>
      <c r="AE140" s="134">
        <f>'401.c Post comb - Cement kiln'!$B$34*IND_CCS!AN140*7.45</f>
        <v>0.75856799669783392</v>
      </c>
      <c r="AF140" s="134">
        <f>$AG$8*'401.c Post comb - Cement kiln'!$B$35*7.45</f>
        <v>0.58735800000000005</v>
      </c>
      <c r="AG140" s="134">
        <f>8760*3.6/1000000</f>
        <v>3.1536000000000002E-2</v>
      </c>
      <c r="AL140" s="134">
        <f>[10]Emissions!$F$11/Z140</f>
        <v>63.988764044943821</v>
      </c>
      <c r="AM140" s="134">
        <f>IF(RIGHT(H140,2)="HT",$AT$4/$AT$5,0)</f>
        <v>250.27422240705468</v>
      </c>
      <c r="AN140" s="134">
        <f>$AG$8*(SUM($AL140:$AM140))*1000/8760</f>
        <v>1.1313467512271946</v>
      </c>
    </row>
    <row r="141" spans="1:40">
      <c r="A141" s="134" t="str">
        <f>A140</f>
        <v>INDGDHTCOAN1</v>
      </c>
      <c r="G141" s="134" t="s">
        <v>352</v>
      </c>
      <c r="J141" s="134">
        <v>2020</v>
      </c>
      <c r="U141" s="134">
        <f>AC141</f>
        <v>2.8283668780679866E-2</v>
      </c>
      <c r="AC141" s="134">
        <f>'401.c Post comb - Cement kiln'!$B$12*IND_CCS!AN140</f>
        <v>2.8283668780679866E-2</v>
      </c>
    </row>
    <row r="142" spans="1:40">
      <c r="A142" s="134" t="str">
        <f>A141</f>
        <v>INDGDHTCOAN1</v>
      </c>
      <c r="C142" s="134" t="s">
        <v>341</v>
      </c>
      <c r="I142" s="134" t="str">
        <f>'[10]IND tech'!$I$132</f>
        <v>INDGWH</v>
      </c>
      <c r="J142" s="134">
        <v>2020</v>
      </c>
      <c r="V142" s="134" cm="1">
        <f t="array" ref="V142">INDEX('[10]IND tech'!$L$6:$V$182,MATCH($A140&amp;$J140,'[10]IND tech'!$A$6:$A$182&amp;'[10]IND tech'!$J$6:$J$182,0),MATCH(V$5,'[10]IND tech'!$L$3:$V$3,0))</f>
        <v>0.41</v>
      </c>
    </row>
    <row r="143" spans="1:40">
      <c r="A143" s="134" t="str">
        <f>A142</f>
        <v>INDGDHTCOAN1</v>
      </c>
      <c r="I143" s="134" t="s">
        <v>777</v>
      </c>
      <c r="J143" s="134">
        <v>2020</v>
      </c>
      <c r="V143" s="134">
        <f>SUM(AL140:AM140)</f>
        <v>314.26298645199847</v>
      </c>
    </row>
    <row r="144" spans="1:40">
      <c r="A144" s="134" t="str">
        <f>IF(C144&gt;0,LEFT(C144,12),A143)</f>
        <v>INDGDHTCOAN1</v>
      </c>
      <c r="F144" s="134" t="str">
        <f>F140</f>
        <v>INDCOA</v>
      </c>
      <c r="H144" s="134" t="str">
        <f>H140</f>
        <v>IGDHT</v>
      </c>
      <c r="J144" s="134">
        <v>2030</v>
      </c>
      <c r="L144" s="124">
        <f>Z144+AA144</f>
        <v>0.44109485271183446</v>
      </c>
      <c r="N144" s="295" cm="1">
        <f t="array" ref="N144">INDEX('[10]IND tech'!$L$6:$V$182,MATCH($A144&amp;$J144,'[10]IND tech'!$A$6:$A$182&amp;'[10]IND tech'!$J$6:$J$182,0),MATCH(N$5,'[10]IND tech'!$L$3:$V$3,0))+AD144</f>
        <v>25.38412691751553</v>
      </c>
      <c r="O144" s="295" cm="1">
        <f t="array" ref="O144">INDEX('[10]IND tech'!$L$6:$V$182,MATCH($A144&amp;$J144,'[10]IND tech'!$A$6:$A$182&amp;'[10]IND tech'!$J$6:$J$182,0),MATCH(O$5,'[10]IND tech'!$L$3:$V$3,0))+AE144</f>
        <v>0.90029559713812291</v>
      </c>
      <c r="P144" s="295" cm="1">
        <f t="array" ref="P144">INDEX('[10]IND tech'!$L$6:$V$182,MATCH($A144&amp;$J144,'[10]IND tech'!$A$6:$A$182&amp;'[10]IND tech'!$J$6:$J$182,0),MATCH(P$5,'[10]IND tech'!$L$3:$V$3,0))+AF144</f>
        <v>4.5710385555555559</v>
      </c>
      <c r="W144" s="134">
        <v>3</v>
      </c>
      <c r="Z144" s="124" cm="1">
        <f t="array" ref="Z144">INDEX('[10]IND tech'!$L$6:$V$182,MATCH($A144&amp;$J144,'[10]IND tech'!$A$6:$A$182&amp;'[10]IND tech'!$J$6:$J$182,0),MATCH(Z$5,'[10]IND tech'!$L$3:$V$3,0))</f>
        <v>0.89</v>
      </c>
      <c r="AA144" s="134">
        <f>-AB144/(1+AB144)</f>
        <v>-0.44890514728816555</v>
      </c>
      <c r="AB144" s="134">
        <f>'401.c Post comb - Cement kiln'!$D$11*IND_CCS!AN144</f>
        <v>0.81456966088358007</v>
      </c>
      <c r="AD144" s="134">
        <f>'401.c Post comb - Cement kiln'!$D$28*7.45*AN144</f>
        <v>21.914186571270761</v>
      </c>
      <c r="AE144" s="134">
        <f>'401.c Post comb - Cement kiln'!$D$34*IND_CCS!AN144*7.45</f>
        <v>0.65742559713812287</v>
      </c>
      <c r="AF144" s="134">
        <f>$AG$8*'401.c Post comb - Cement kiln'!$D$35*7.45</f>
        <v>0.58735800000000005</v>
      </c>
      <c r="AL144" s="134">
        <f>[10]Emissions!$F$11/Z144</f>
        <v>63.988764044943821</v>
      </c>
      <c r="AM144" s="134">
        <f>IF(RIGHT(H144,2)="HT",$AT$4/$AT$5,0)</f>
        <v>250.27422240705468</v>
      </c>
      <c r="AN144" s="134">
        <f>$AG$8*(SUM($AL144:$AM144))*1000/8760</f>
        <v>1.1313467512271946</v>
      </c>
    </row>
    <row r="145" spans="1:40">
      <c r="A145" s="134" t="str">
        <f>A144</f>
        <v>INDGDHTCOAN1</v>
      </c>
      <c r="G145" s="134" t="s">
        <v>352</v>
      </c>
      <c r="J145" s="134">
        <v>2030</v>
      </c>
      <c r="U145" s="134">
        <f>AC145</f>
        <v>2.4889628526998282E-2</v>
      </c>
      <c r="AC145" s="134">
        <f>'401.c Post comb - Cement kiln'!$D$12*IND_CCS!AN144</f>
        <v>2.4889628526998282E-2</v>
      </c>
    </row>
    <row r="146" spans="1:40">
      <c r="A146" s="134" t="str">
        <f>A145</f>
        <v>INDGDHTCOAN1</v>
      </c>
      <c r="C146" s="134" t="s">
        <v>341</v>
      </c>
      <c r="I146" s="134" t="str">
        <f>'[10]IND tech'!$I$132</f>
        <v>INDGWH</v>
      </c>
      <c r="J146" s="134">
        <v>2030</v>
      </c>
      <c r="V146" s="134" cm="1">
        <f t="array" ref="V146">INDEX('[10]IND tech'!$L$6:$V$182,MATCH($A144&amp;$J144,'[10]IND tech'!$A$6:$A$182&amp;'[10]IND tech'!$J$6:$J$182,0),MATCH(V$5,'[10]IND tech'!$L$3:$V$3,0))</f>
        <v>0.41</v>
      </c>
    </row>
    <row r="147" spans="1:40">
      <c r="A147" s="134" t="str">
        <f>A146</f>
        <v>INDGDHTCOAN1</v>
      </c>
      <c r="I147" s="134" t="s">
        <v>777</v>
      </c>
      <c r="J147" s="134">
        <v>2030</v>
      </c>
      <c r="V147" s="134">
        <f>SUM(AL144:AM144)</f>
        <v>314.26298645199847</v>
      </c>
    </row>
    <row r="148" spans="1:40">
      <c r="A148" s="134" t="str">
        <f>IF(C148&gt;0,LEFT(C148,12),A147)</f>
        <v>INDGDHTCOAN1</v>
      </c>
      <c r="F148" s="134" t="str">
        <f>F144</f>
        <v>INDCOA</v>
      </c>
      <c r="H148" s="134" t="str">
        <f>H144</f>
        <v>IGDHT</v>
      </c>
      <c r="J148" s="134">
        <v>2050</v>
      </c>
      <c r="L148" s="124">
        <f>Z148+AA148</f>
        <v>0.48360914606799421</v>
      </c>
      <c r="N148" s="295" cm="1">
        <f t="array" ref="N148">INDEX('[10]IND tech'!$L$6:$V$182,MATCH($A148&amp;$J148,'[10]IND tech'!$A$6:$A$182&amp;'[10]IND tech'!$J$6:$J$182,0),MATCH(N$5,'[10]IND tech'!$L$3:$V$3,0))+AD148</f>
        <v>18.384865728001429</v>
      </c>
      <c r="O148" s="295" cm="1">
        <f t="array" ref="O148">INDEX('[10]IND tech'!$L$6:$V$182,MATCH($A148&amp;$J148,'[10]IND tech'!$A$6:$A$182&amp;'[10]IND tech'!$J$6:$J$182,0),MATCH(O$5,'[10]IND tech'!$L$3:$V$3,0))+AE148</f>
        <v>0.68107401456395289</v>
      </c>
      <c r="P148" s="295" cm="1">
        <f t="array" ref="P148">INDEX('[10]IND tech'!$L$6:$V$182,MATCH($A148&amp;$J148,'[10]IND tech'!$A$6:$A$182&amp;'[10]IND tech'!$J$6:$J$182,0),MATCH(P$5,'[10]IND tech'!$L$3:$V$3,0))+AF148</f>
        <v>4.593802444444445</v>
      </c>
      <c r="W148" s="134">
        <v>3</v>
      </c>
      <c r="Z148" s="124" cm="1">
        <f t="array" ref="Z148">INDEX('[10]IND tech'!$L$6:$V$182,MATCH($A148&amp;$J148,'[10]IND tech'!$A$6:$A$182&amp;'[10]IND tech'!$J$6:$J$182,0),MATCH(Z$5,'[10]IND tech'!$L$3:$V$3,0))</f>
        <v>0.91</v>
      </c>
      <c r="AA148" s="134">
        <f>-AB148/(1+AB148)</f>
        <v>-0.42639085393200582</v>
      </c>
      <c r="AB148" s="134">
        <f>'401.c Post comb - Cement kiln'!$F$11*IND_CCS!AN148</f>
        <v>0.74334737661498618</v>
      </c>
      <c r="AD148" s="134">
        <f>'401.c Post comb - Cement kiln'!$F$28*7.45*AN148</f>
        <v>15.103467152131763</v>
      </c>
      <c r="AE148" s="134">
        <f>'401.c Post comb - Cement kiln'!$F$34*IND_CCS!AN148*7.45</f>
        <v>0.45310401456395288</v>
      </c>
      <c r="AF148" s="134">
        <f>$AG$8*'401.c Post comb - Cement kiln'!$F$35*7.45</f>
        <v>0.58735800000000005</v>
      </c>
      <c r="AL148" s="134">
        <f>[10]Emissions!$F$11/Z148</f>
        <v>62.582417582417584</v>
      </c>
      <c r="AM148" s="134">
        <f>IF(RIGHT(H148,2)="HT",$AT$4/$AT$5,0)</f>
        <v>250.27422240705468</v>
      </c>
      <c r="AN148" s="134">
        <f>$AG$8*(SUM($AL148:$AM148))*1000/8760</f>
        <v>1.1262839039621002</v>
      </c>
    </row>
    <row r="149" spans="1:40">
      <c r="A149" s="134" t="str">
        <f>A148</f>
        <v>INDGDHTCOAN1</v>
      </c>
      <c r="G149" s="134" t="s">
        <v>352</v>
      </c>
      <c r="J149" s="134">
        <v>2050</v>
      </c>
      <c r="U149" s="134">
        <f>AC149</f>
        <v>2.0273110271317802E-2</v>
      </c>
      <c r="AC149" s="134">
        <f>'401.c Post comb - Cement kiln'!$F$12*IND_CCS!AN148</f>
        <v>2.0273110271317802E-2</v>
      </c>
    </row>
    <row r="150" spans="1:40">
      <c r="A150" s="134" t="str">
        <f>A149</f>
        <v>INDGDHTCOAN1</v>
      </c>
      <c r="C150" s="134" t="s">
        <v>341</v>
      </c>
      <c r="I150" s="134" t="str">
        <f>'[10]IND tech'!$I$132</f>
        <v>INDGWH</v>
      </c>
      <c r="J150" s="134">
        <v>2050</v>
      </c>
      <c r="V150" s="134" cm="1">
        <f t="array" ref="V150">INDEX('[10]IND tech'!$L$6:$V$182,MATCH($A148&amp;$J148,'[10]IND tech'!$A$6:$A$182&amp;'[10]IND tech'!$J$6:$J$182,0),MATCH(V$5,'[10]IND tech'!$L$3:$V$3,0))</f>
        <v>0.38999999999999996</v>
      </c>
    </row>
    <row r="151" spans="1:40">
      <c r="A151" s="134" t="str">
        <f>A150</f>
        <v>INDGDHTCOAN1</v>
      </c>
      <c r="I151" s="134" t="s">
        <v>777</v>
      </c>
      <c r="J151" s="134">
        <v>2050</v>
      </c>
      <c r="V151" s="134">
        <f>SUM(AL148:AM148)</f>
        <v>312.85663998947228</v>
      </c>
    </row>
    <row r="152" spans="1:40">
      <c r="A152" s="134" t="str">
        <f>IF(C152&gt;0,LEFT(C152,12),A151)</f>
        <v>INDGDMTCOAN1</v>
      </c>
      <c r="C152" s="134" t="str">
        <f>'[10]IND tech'!D168&amp;"CCS"</f>
        <v>INDGDMTCOAN1CCS</v>
      </c>
      <c r="D152" s="134" t="str">
        <f>'[10]IND tech'!E168&amp;"CCS"</f>
        <v>Industrial heating technology Glass &amp; Concrete MT - Coal boiler (Steam) - new 1CCS</v>
      </c>
      <c r="E152" s="134" t="s">
        <v>683</v>
      </c>
      <c r="F152" s="134" t="str">
        <f>'[10]IND tech'!$G$165</f>
        <v>INDCOA</v>
      </c>
      <c r="H152" s="134" t="str">
        <f>"IGD"&amp;MID(C152,6,2)</f>
        <v>IGDMT</v>
      </c>
      <c r="J152" s="134">
        <v>2020</v>
      </c>
      <c r="K152" s="134">
        <v>2020</v>
      </c>
      <c r="L152" s="124">
        <f>Z152+AA152</f>
        <v>0.72900394733445895</v>
      </c>
      <c r="M152" s="134" cm="1">
        <f t="array" ref="M152">INDEX('[10]IND tech'!$L$6:$V$182,MATCH($A152&amp;$J152,'[10]IND tech'!$A$6:$A$182&amp;'[10]IND tech'!$J$6:$J$182,0),MATCH(M$5,'[10]IND tech'!$L$3:$V$3,0))</f>
        <v>25</v>
      </c>
      <c r="N152" s="295" cm="1">
        <f t="array" ref="N152">INDEX('[10]IND tech'!$L$6:$V$182,MATCH($A152&amp;$J152,'[10]IND tech'!$A$6:$A$182&amp;'[10]IND tech'!$J$6:$J$182,0),MATCH(N$5,'[10]IND tech'!$L$3:$V$3,0))+AD152</f>
        <v>8.8735359550561803</v>
      </c>
      <c r="O152" s="295" cm="1">
        <f t="array" ref="O152">INDEX('[10]IND tech'!$L$6:$V$182,MATCH($A152&amp;$J152,'[10]IND tech'!$A$6:$A$182&amp;'[10]IND tech'!$J$6:$J$182,0),MATCH(O$5,'[10]IND tech'!$L$3:$V$3,0))+AE152</f>
        <v>0.40552107865168541</v>
      </c>
      <c r="P152" s="295" cm="1">
        <f t="array" ref="P152">INDEX('[10]IND tech'!$L$6:$V$182,MATCH($A152&amp;$J152,'[10]IND tech'!$A$6:$A$182&amp;'[10]IND tech'!$J$6:$J$182,0),MATCH(P$5,'[10]IND tech'!$L$3:$V$3,0))+AF152</f>
        <v>4.5255107777777779</v>
      </c>
      <c r="Q152" s="134" cm="1">
        <f t="array" ref="Q152">INDEX('[10]IND tech'!$L$6:$V$182,MATCH($A152&amp;$J152,'[10]IND tech'!$A$6:$A$182&amp;'[10]IND tech'!$J$6:$J$182,0),MATCH(Q$5,'[10]IND tech'!$L$3:$V$3,0))</f>
        <v>3.1536000000000002E-2</v>
      </c>
      <c r="R152" s="134">
        <v>0.95</v>
      </c>
      <c r="S152" s="134" cm="1">
        <f t="array" ref="S152">INDEX('[10]IND tech'!$L$6:$V$182,MATCH($A152&amp;$J152,'[10]IND tech'!$A$6:$A$182&amp;'[10]IND tech'!$J$6:$J$182,0),MATCH(S$5,'[10]IND tech'!$L$3:$V$3,0))</f>
        <v>0.97</v>
      </c>
      <c r="W152" s="134">
        <v>3</v>
      </c>
      <c r="Z152" s="124" cm="1">
        <f t="array" ref="Z152">INDEX('[10]IND tech'!$L$6:$V$182,MATCH($A152&amp;$J152,'[10]IND tech'!$A$6:$A$182&amp;'[10]IND tech'!$J$6:$J$182,0),MATCH(Z$5,'[10]IND tech'!$L$3:$V$3,0))</f>
        <v>0.89</v>
      </c>
      <c r="AA152" s="134">
        <f>-AB152/(1+AB152)</f>
        <v>-0.16099605266554101</v>
      </c>
      <c r="AB152" s="134">
        <f>'401.c Post comb - Cement kiln'!$B$11*IND_CCS!AN152</f>
        <v>0.19188950561797755</v>
      </c>
      <c r="AD152" s="134">
        <f>'401.c Post comb - Cement kiln'!$B$28*7.45*AN152</f>
        <v>5.1485359550561807</v>
      </c>
      <c r="AE152" s="134">
        <f>'401.c Post comb - Cement kiln'!$B$34*IND_CCS!AN152*7.45</f>
        <v>0.15445607865168542</v>
      </c>
      <c r="AF152" s="134">
        <f>$AG$8*'401.c Post comb - Cement kiln'!$B$35*7.45</f>
        <v>0.58735800000000005</v>
      </c>
      <c r="AG152" s="134">
        <f>8760*3.6/1000000</f>
        <v>3.1536000000000002E-2</v>
      </c>
      <c r="AL152" s="134">
        <f>[10]Emissions!$F$11/Z152</f>
        <v>63.988764044943821</v>
      </c>
      <c r="AM152" s="134">
        <f>IF(RIGHT(H152,2)="HT",$AT$4/$AT$5,0)</f>
        <v>0</v>
      </c>
      <c r="AN152" s="134">
        <f>$AG$8*(SUM($AL152:$AM152))*1000/8760</f>
        <v>0.23035955056179777</v>
      </c>
    </row>
    <row r="153" spans="1:40">
      <c r="A153" s="134" t="str">
        <f>A152</f>
        <v>INDGDMTCOAN1</v>
      </c>
      <c r="G153" s="134" t="s">
        <v>352</v>
      </c>
      <c r="J153" s="134">
        <v>2020</v>
      </c>
      <c r="U153" s="134">
        <f>AC153</f>
        <v>5.758988764044945E-3</v>
      </c>
      <c r="AC153" s="134">
        <f>'401.c Post comb - Cement kiln'!$B$12*IND_CCS!AN152</f>
        <v>5.758988764044945E-3</v>
      </c>
    </row>
    <row r="154" spans="1:40">
      <c r="A154" s="134" t="str">
        <f>A153</f>
        <v>INDGDMTCOAN1</v>
      </c>
      <c r="C154" s="134" t="s">
        <v>341</v>
      </c>
      <c r="I154" s="134" t="str">
        <f>'[10]IND tech'!$I$132</f>
        <v>INDGWH</v>
      </c>
      <c r="J154" s="134">
        <v>2020</v>
      </c>
      <c r="V154" s="134" cm="1">
        <f t="array" ref="V154">INDEX('[10]IND tech'!$L$6:$V$182,MATCH($A152&amp;$J152,'[10]IND tech'!$A$6:$A$182&amp;'[10]IND tech'!$J$6:$J$182,0),MATCH(V$5,'[10]IND tech'!$L$3:$V$3,0))</f>
        <v>0.31</v>
      </c>
    </row>
    <row r="155" spans="1:40">
      <c r="A155" s="134" t="str">
        <f>A154</f>
        <v>INDGDMTCOAN1</v>
      </c>
      <c r="I155" s="134" t="s">
        <v>777</v>
      </c>
      <c r="J155" s="134">
        <v>2020</v>
      </c>
      <c r="V155" s="134">
        <f>SUM(AL152:AM152)</f>
        <v>63.988764044943821</v>
      </c>
    </row>
    <row r="156" spans="1:40">
      <c r="A156" s="134" t="str">
        <f>IF(C156&gt;0,LEFT(C156,12),A155)</f>
        <v>INDGDMTCOAN1</v>
      </c>
      <c r="F156" s="134" t="str">
        <f>F152</f>
        <v>INDCOA</v>
      </c>
      <c r="H156" s="134" t="str">
        <f>H152</f>
        <v>IGDMT</v>
      </c>
      <c r="J156" s="134">
        <v>2030</v>
      </c>
      <c r="L156" s="124">
        <f>Z156+AA156</f>
        <v>0.74773674690713621</v>
      </c>
      <c r="N156" s="295" cm="1">
        <f t="array" ref="N156">INDEX('[10]IND tech'!$L$6:$V$182,MATCH($A156&amp;$J156,'[10]IND tech'!$A$6:$A$182&amp;'[10]IND tech'!$J$6:$J$182,0),MATCH(N$5,'[10]IND tech'!$L$3:$V$3,0))+AD156</f>
        <v>7.932004840626794</v>
      </c>
      <c r="O156" s="295" cm="1">
        <f t="array" ref="O156">INDEX('[10]IND tech'!$L$6:$V$182,MATCH($A156&amp;$J156,'[10]IND tech'!$A$6:$A$182&amp;'[10]IND tech'!$J$6:$J$182,0),MATCH(O$5,'[10]IND tech'!$L$3:$V$3,0))+AE156</f>
        <v>0.37673193483146072</v>
      </c>
      <c r="P156" s="295" cm="1">
        <f t="array" ref="P156">INDEX('[10]IND tech'!$L$6:$V$182,MATCH($A156&amp;$J156,'[10]IND tech'!$A$6:$A$182&amp;'[10]IND tech'!$J$6:$J$182,0),MATCH(P$5,'[10]IND tech'!$L$3:$V$3,0))+AF156</f>
        <v>4.5710385555555559</v>
      </c>
      <c r="W156" s="134">
        <v>3</v>
      </c>
      <c r="Z156" s="124" cm="1">
        <f t="array" ref="Z156">INDEX('[10]IND tech'!$L$6:$V$182,MATCH($A156&amp;$J156,'[10]IND tech'!$A$6:$A$182&amp;'[10]IND tech'!$J$6:$J$182,0),MATCH(Z$5,'[10]IND tech'!$L$3:$V$3,0))</f>
        <v>0.89</v>
      </c>
      <c r="AA156" s="134">
        <f>-AB156/(1+AB156)</f>
        <v>-0.14226325309286381</v>
      </c>
      <c r="AB156" s="134">
        <f>'401.c Post comb - Cement kiln'!$D$11*IND_CCS!AN156</f>
        <v>0.1658588764044944</v>
      </c>
      <c r="AD156" s="134">
        <f>'401.c Post comb - Cement kiln'!$D$28*7.45*AN156</f>
        <v>4.4620644943820231</v>
      </c>
      <c r="AE156" s="134">
        <f>'401.c Post comb - Cement kiln'!$D$34*IND_CCS!AN156*7.45</f>
        <v>0.13386193483146069</v>
      </c>
      <c r="AF156" s="134">
        <f>$AG$8*'401.c Post comb - Cement kiln'!$D$35*7.45</f>
        <v>0.58735800000000005</v>
      </c>
      <c r="AL156" s="134">
        <f>[10]Emissions!$F$11/Z156</f>
        <v>63.988764044943821</v>
      </c>
      <c r="AM156" s="134">
        <f>IF(RIGHT(H156,2)="HT",$AT$4/$AT$5,0)</f>
        <v>0</v>
      </c>
      <c r="AN156" s="134">
        <f>$AG$8*(SUM($AL156:$AM156))*1000/8760</f>
        <v>0.23035955056179777</v>
      </c>
    </row>
    <row r="157" spans="1:40">
      <c r="A157" s="134" t="str">
        <f>A156</f>
        <v>INDGDMTCOAN1</v>
      </c>
      <c r="G157" s="134" t="s">
        <v>352</v>
      </c>
      <c r="J157" s="134">
        <v>2030</v>
      </c>
      <c r="U157" s="134">
        <f>AC157</f>
        <v>5.0679101123595506E-3</v>
      </c>
      <c r="AC157" s="134">
        <f>'401.c Post comb - Cement kiln'!$D$12*IND_CCS!AN156</f>
        <v>5.0679101123595506E-3</v>
      </c>
    </row>
    <row r="158" spans="1:40">
      <c r="A158" s="134" t="str">
        <f>A157</f>
        <v>INDGDMTCOAN1</v>
      </c>
      <c r="C158" s="134" t="s">
        <v>341</v>
      </c>
      <c r="I158" s="134" t="str">
        <f>'[10]IND tech'!$I$132</f>
        <v>INDGWH</v>
      </c>
      <c r="J158" s="134">
        <v>2030</v>
      </c>
      <c r="V158" s="134" cm="1">
        <f t="array" ref="V158">INDEX('[10]IND tech'!$L$6:$V$182,MATCH($A156&amp;$J156,'[10]IND tech'!$A$6:$A$182&amp;'[10]IND tech'!$J$6:$J$182,0),MATCH(V$5,'[10]IND tech'!$L$3:$V$3,0))</f>
        <v>0.31</v>
      </c>
    </row>
    <row r="159" spans="1:40">
      <c r="A159" s="134" t="str">
        <f>A158</f>
        <v>INDGDMTCOAN1</v>
      </c>
      <c r="I159" s="134" t="s">
        <v>777</v>
      </c>
      <c r="J159" s="134">
        <v>2030</v>
      </c>
      <c r="V159" s="134">
        <f>SUM(AL156:AM156)</f>
        <v>63.988764044943821</v>
      </c>
    </row>
    <row r="160" spans="1:40">
      <c r="A160" s="134" t="str">
        <f>IF(C160&gt;0,LEFT(C160,12),A159)</f>
        <v>INDGDMTCOAN1</v>
      </c>
      <c r="F160" s="134" t="str">
        <f>F156</f>
        <v>INDCOA</v>
      </c>
      <c r="H160" s="134" t="str">
        <f>H156</f>
        <v>IGDMT</v>
      </c>
      <c r="J160" s="134">
        <v>2050</v>
      </c>
      <c r="L160" s="124">
        <f>Z160+AA160</f>
        <v>0.78055248130416799</v>
      </c>
      <c r="N160" s="295" cm="1">
        <f t="array" ref="N160">INDEX('[10]IND tech'!$L$6:$V$182,MATCH($A160&amp;$J160,'[10]IND tech'!$A$6:$A$182&amp;'[10]IND tech'!$J$6:$J$182,0),MATCH(N$5,'[10]IND tech'!$L$3:$V$3,0))+AD160</f>
        <v>6.3026273670784558</v>
      </c>
      <c r="O160" s="295" cm="1">
        <f t="array" ref="O160">INDEX('[10]IND tech'!$L$6:$V$182,MATCH($A160&amp;$J160,'[10]IND tech'!$A$6:$A$182&amp;'[10]IND tech'!$J$6:$J$182,0),MATCH(O$5,'[10]IND tech'!$L$3:$V$3,0))+AE160</f>
        <v>0.31860686373626373</v>
      </c>
      <c r="P160" s="295" cm="1">
        <f t="array" ref="P160">INDEX('[10]IND tech'!$L$6:$V$182,MATCH($A160&amp;$J160,'[10]IND tech'!$A$6:$A$182&amp;'[10]IND tech'!$J$6:$J$182,0),MATCH(P$5,'[10]IND tech'!$L$3:$V$3,0))+AF160</f>
        <v>4.593802444444445</v>
      </c>
      <c r="W160" s="134">
        <v>3</v>
      </c>
      <c r="Z160" s="124" cm="1">
        <f t="array" ref="Z160">INDEX('[10]IND tech'!$L$6:$V$182,MATCH($A160&amp;$J160,'[10]IND tech'!$A$6:$A$182&amp;'[10]IND tech'!$J$6:$J$182,0),MATCH(Z$5,'[10]IND tech'!$L$3:$V$3,0))</f>
        <v>0.91</v>
      </c>
      <c r="AA160" s="134">
        <f>-AB160/(1+AB160)</f>
        <v>-0.12944751869583201</v>
      </c>
      <c r="AB160" s="134">
        <f>'401.c Post comb - Cement kiln'!$F$11*IND_CCS!AN160</f>
        <v>0.14869582417582419</v>
      </c>
      <c r="AD160" s="134">
        <f>'401.c Post comb - Cement kiln'!$F$28*7.45*AN160</f>
        <v>3.0212287912087916</v>
      </c>
      <c r="AE160" s="134">
        <f>'401.c Post comb - Cement kiln'!$F$34*IND_CCS!AN160*7.45</f>
        <v>9.0636863736263742E-2</v>
      </c>
      <c r="AF160" s="134">
        <f>$AG$8*'401.c Post comb - Cement kiln'!$F$35*7.45</f>
        <v>0.58735800000000005</v>
      </c>
      <c r="AL160" s="134">
        <f>[10]Emissions!$F$11/Z160</f>
        <v>62.582417582417584</v>
      </c>
      <c r="AM160" s="134">
        <f>IF(RIGHT(H160,2)="HT",$AT$4/$AT$5,0)</f>
        <v>0</v>
      </c>
      <c r="AN160" s="134">
        <f>$AG$8*(SUM($AL160:$AM160))*1000/8760</f>
        <v>0.22529670329670332</v>
      </c>
    </row>
    <row r="161" spans="1:40">
      <c r="A161" s="134" t="str">
        <f>A160</f>
        <v>INDGDMTCOAN1</v>
      </c>
      <c r="G161" s="134" t="s">
        <v>352</v>
      </c>
      <c r="J161" s="134">
        <v>2050</v>
      </c>
      <c r="U161" s="134">
        <f>AC161</f>
        <v>4.0553406593406595E-3</v>
      </c>
      <c r="AC161" s="134">
        <f>'401.c Post comb - Cement kiln'!$F$12*IND_CCS!AN160</f>
        <v>4.0553406593406595E-3</v>
      </c>
    </row>
    <row r="162" spans="1:40">
      <c r="A162" s="134" t="str">
        <f>A161</f>
        <v>INDGDMTCOAN1</v>
      </c>
      <c r="C162" s="134" t="s">
        <v>341</v>
      </c>
      <c r="I162" s="134" t="str">
        <f>'[10]IND tech'!$I$132</f>
        <v>INDGWH</v>
      </c>
      <c r="J162" s="134">
        <v>2050</v>
      </c>
      <c r="V162" s="134" cm="1">
        <f t="array" ref="V162">INDEX('[10]IND tech'!$L$6:$V$182,MATCH($A160&amp;$J160,'[10]IND tech'!$A$6:$A$182&amp;'[10]IND tech'!$J$6:$J$182,0),MATCH(V$5,'[10]IND tech'!$L$3:$V$3,0))</f>
        <v>0.28999999999999998</v>
      </c>
    </row>
    <row r="163" spans="1:40">
      <c r="A163" s="134" t="str">
        <f>A162</f>
        <v>INDGDMTCOAN1</v>
      </c>
      <c r="I163" s="134" t="s">
        <v>777</v>
      </c>
      <c r="J163" s="134">
        <v>2050</v>
      </c>
      <c r="V163" s="134">
        <f>SUM(AL160:AM160)</f>
        <v>62.582417582417584</v>
      </c>
    </row>
    <row r="164" spans="1:40">
      <c r="A164" s="134" t="str">
        <f>IF(C164&gt;0,LEFT(C164,12),A163)</f>
        <v>INDGDRHCOAN1</v>
      </c>
      <c r="C164" s="134" t="str">
        <f>'[10]IND tech'!D171&amp;"CCS"</f>
        <v>INDGDRHCOAN1CCS</v>
      </c>
      <c r="D164" s="134" t="str">
        <f>'[10]IND tech'!E171&amp;"CCS"</f>
        <v>Industrial heating technology Glass &amp; Concrete RH - Coal boiler (Steam) - new 1CCS</v>
      </c>
      <c r="E164" s="134" t="s">
        <v>683</v>
      </c>
      <c r="F164" s="134" t="str">
        <f>'[10]IND tech'!$G$165</f>
        <v>INDCOA</v>
      </c>
      <c r="H164" s="134" t="str">
        <f>"IGD"&amp;MID(C164,6,2)</f>
        <v>IGDRH</v>
      </c>
      <c r="J164" s="134">
        <v>2020</v>
      </c>
      <c r="K164" s="134">
        <v>2020</v>
      </c>
      <c r="L164" s="124">
        <f>Z164+AA164</f>
        <v>0.72900394733445895</v>
      </c>
      <c r="M164" s="134" cm="1">
        <f t="array" ref="M164">INDEX('[10]IND tech'!$L$6:$V$182,MATCH($A164&amp;$J164,'[10]IND tech'!$A$6:$A$182&amp;'[10]IND tech'!$J$6:$J$182,0),MATCH(M$5,'[10]IND tech'!$L$3:$V$3,0))</f>
        <v>25</v>
      </c>
      <c r="N164" s="295" cm="1">
        <f t="array" ref="N164">INDEX('[10]IND tech'!$L$6:$V$182,MATCH($A164&amp;$J164,'[10]IND tech'!$A$6:$A$182&amp;'[10]IND tech'!$J$6:$J$182,0),MATCH(N$5,'[10]IND tech'!$L$3:$V$3,0))+AD164</f>
        <v>8.8735359550561803</v>
      </c>
      <c r="O164" s="295" cm="1">
        <f t="array" ref="O164">INDEX('[10]IND tech'!$L$6:$V$182,MATCH($A164&amp;$J164,'[10]IND tech'!$A$6:$A$182&amp;'[10]IND tech'!$J$6:$J$182,0),MATCH(O$5,'[10]IND tech'!$L$3:$V$3,0))+AE164</f>
        <v>0.40552107865168541</v>
      </c>
      <c r="P164" s="295" cm="1">
        <f t="array" ref="P164">INDEX('[10]IND tech'!$L$6:$V$182,MATCH($A164&amp;$J164,'[10]IND tech'!$A$6:$A$182&amp;'[10]IND tech'!$J$6:$J$182,0),MATCH(P$5,'[10]IND tech'!$L$3:$V$3,0))+AF164</f>
        <v>4.5255107777777779</v>
      </c>
      <c r="Q164" s="134" cm="1">
        <f t="array" ref="Q164">INDEX('[10]IND tech'!$L$6:$V$182,MATCH($A164&amp;$J164,'[10]IND tech'!$A$6:$A$182&amp;'[10]IND tech'!$J$6:$J$182,0),MATCH(Q$5,'[10]IND tech'!$L$3:$V$3,0))</f>
        <v>3.1536000000000002E-2</v>
      </c>
      <c r="R164" s="134">
        <v>0.95</v>
      </c>
      <c r="S164" s="134" cm="1">
        <f t="array" ref="S164">INDEX('[10]IND tech'!$L$6:$V$182,MATCH($A164&amp;$J164,'[10]IND tech'!$A$6:$A$182&amp;'[10]IND tech'!$J$6:$J$182,0),MATCH(S$5,'[10]IND tech'!$L$3:$V$3,0))</f>
        <v>1</v>
      </c>
      <c r="W164" s="134">
        <v>3</v>
      </c>
      <c r="Z164" s="124" cm="1">
        <f t="array" ref="Z164">INDEX('[10]IND tech'!$L$6:$V$182,MATCH($A164&amp;$J164,'[10]IND tech'!$A$6:$A$182&amp;'[10]IND tech'!$J$6:$J$182,0),MATCH(Z$5,'[10]IND tech'!$L$3:$V$3,0))</f>
        <v>0.89</v>
      </c>
      <c r="AA164" s="134">
        <f>-AB164/(1+AB164)</f>
        <v>-0.16099605266554101</v>
      </c>
      <c r="AB164" s="134">
        <f>'401.c Post comb - Cement kiln'!$B$11*IND_CCS!AN164</f>
        <v>0.19188950561797755</v>
      </c>
      <c r="AD164" s="134">
        <f>'401.c Post comb - Cement kiln'!$B$28*7.45*AN164</f>
        <v>5.1485359550561807</v>
      </c>
      <c r="AE164" s="134">
        <f>'401.c Post comb - Cement kiln'!$B$34*IND_CCS!AN164*7.45</f>
        <v>0.15445607865168542</v>
      </c>
      <c r="AF164" s="134">
        <f>$AG$8*'401.c Post comb - Cement kiln'!$B$35*7.45</f>
        <v>0.58735800000000005</v>
      </c>
      <c r="AG164" s="134">
        <f>8760*3.6/1000000</f>
        <v>3.1536000000000002E-2</v>
      </c>
      <c r="AL164" s="134">
        <f>[10]Emissions!$F$11/Z164</f>
        <v>63.988764044943821</v>
      </c>
      <c r="AM164" s="134">
        <f>IF(RIGHT(H164,2)="HT",$AT$4/$AT$5,0)</f>
        <v>0</v>
      </c>
      <c r="AN164" s="134">
        <f>$AG$8*(SUM($AL164:$AM164))*1000/8760</f>
        <v>0.23035955056179777</v>
      </c>
    </row>
    <row r="165" spans="1:40">
      <c r="A165" s="134" t="str">
        <f>A164</f>
        <v>INDGDRHCOAN1</v>
      </c>
      <c r="G165" s="134" t="s">
        <v>352</v>
      </c>
      <c r="J165" s="134">
        <v>2020</v>
      </c>
      <c r="U165" s="134">
        <f>AC165</f>
        <v>5.758988764044945E-3</v>
      </c>
      <c r="AC165" s="134">
        <f>'401.c Post comb - Cement kiln'!$B$12*IND_CCS!AN164</f>
        <v>5.758988764044945E-3</v>
      </c>
    </row>
    <row r="166" spans="1:40">
      <c r="A166" s="134" t="str">
        <f>A165</f>
        <v>INDGDRHCOAN1</v>
      </c>
      <c r="C166" s="134" t="s">
        <v>341</v>
      </c>
      <c r="I166" s="134" t="str">
        <f>'[10]IND tech'!$I$132</f>
        <v>INDGWH</v>
      </c>
      <c r="J166" s="134">
        <v>2020</v>
      </c>
      <c r="V166" s="134" cm="1">
        <f t="array" ref="V166">INDEX('[10]IND tech'!$L$6:$V$182,MATCH($A164&amp;$J164,'[10]IND tech'!$A$6:$A$182&amp;'[10]IND tech'!$J$6:$J$182,0),MATCH(V$5,'[10]IND tech'!$L$3:$V$3,0))</f>
        <v>0.10999999999999999</v>
      </c>
    </row>
    <row r="167" spans="1:40">
      <c r="A167" s="134" t="str">
        <f>A166</f>
        <v>INDGDRHCOAN1</v>
      </c>
      <c r="I167" s="134" t="s">
        <v>777</v>
      </c>
      <c r="J167" s="134">
        <v>2020</v>
      </c>
      <c r="V167" s="134">
        <f>SUM(AL164:AM164)</f>
        <v>63.988764044943821</v>
      </c>
    </row>
    <row r="168" spans="1:40">
      <c r="A168" s="134" t="str">
        <f>IF(C168&gt;0,LEFT(C168,12),A167)</f>
        <v>INDGDRHCOAN1</v>
      </c>
      <c r="F168" s="134" t="str">
        <f>F164</f>
        <v>INDCOA</v>
      </c>
      <c r="H168" s="134" t="str">
        <f>H164</f>
        <v>IGDRH</v>
      </c>
      <c r="J168" s="134">
        <v>2030</v>
      </c>
      <c r="L168" s="124">
        <f>Z168+AA168</f>
        <v>0.74773674690713621</v>
      </c>
      <c r="N168" s="295" cm="1">
        <f t="array" ref="N168">INDEX('[10]IND tech'!$L$6:$V$182,MATCH($A168&amp;$J168,'[10]IND tech'!$A$6:$A$182&amp;'[10]IND tech'!$J$6:$J$182,0),MATCH(N$5,'[10]IND tech'!$L$3:$V$3,0))+AD168</f>
        <v>7.932004840626794</v>
      </c>
      <c r="O168" s="295" cm="1">
        <f t="array" ref="O168">INDEX('[10]IND tech'!$L$6:$V$182,MATCH($A168&amp;$J168,'[10]IND tech'!$A$6:$A$182&amp;'[10]IND tech'!$J$6:$J$182,0),MATCH(O$5,'[10]IND tech'!$L$3:$V$3,0))+AE168</f>
        <v>0.37673193483146072</v>
      </c>
      <c r="P168" s="295" cm="1">
        <f t="array" ref="P168">INDEX('[10]IND tech'!$L$6:$V$182,MATCH($A168&amp;$J168,'[10]IND tech'!$A$6:$A$182&amp;'[10]IND tech'!$J$6:$J$182,0),MATCH(P$5,'[10]IND tech'!$L$3:$V$3,0))+AF168</f>
        <v>4.5710385555555559</v>
      </c>
      <c r="W168" s="134">
        <v>3</v>
      </c>
      <c r="Z168" s="124" cm="1">
        <f t="array" ref="Z168">INDEX('[10]IND tech'!$L$6:$V$182,MATCH($A168&amp;$J168,'[10]IND tech'!$A$6:$A$182&amp;'[10]IND tech'!$J$6:$J$182,0),MATCH(Z$5,'[10]IND tech'!$L$3:$V$3,0))</f>
        <v>0.89</v>
      </c>
      <c r="AA168" s="134">
        <f>-AB168/(1+AB168)</f>
        <v>-0.14226325309286381</v>
      </c>
      <c r="AB168" s="134">
        <f>'401.c Post comb - Cement kiln'!$D$11*IND_CCS!AN168</f>
        <v>0.1658588764044944</v>
      </c>
      <c r="AD168" s="134">
        <f>'401.c Post comb - Cement kiln'!$D$28*7.45*AN168</f>
        <v>4.4620644943820231</v>
      </c>
      <c r="AE168" s="134">
        <f>'401.c Post comb - Cement kiln'!$D$34*IND_CCS!AN168*7.45</f>
        <v>0.13386193483146069</v>
      </c>
      <c r="AF168" s="134">
        <f>$AG$8*'401.c Post comb - Cement kiln'!$D$35*7.45</f>
        <v>0.58735800000000005</v>
      </c>
      <c r="AL168" s="134">
        <f>[10]Emissions!$F$11/Z168</f>
        <v>63.988764044943821</v>
      </c>
      <c r="AM168" s="134">
        <f>IF(RIGHT(H168,2)="HT",$AT$4/$AT$5,0)</f>
        <v>0</v>
      </c>
      <c r="AN168" s="134">
        <f>$AG$8*(SUM($AL168:$AM168))*1000/8760</f>
        <v>0.23035955056179777</v>
      </c>
    </row>
    <row r="169" spans="1:40">
      <c r="A169" s="134" t="str">
        <f>A168</f>
        <v>INDGDRHCOAN1</v>
      </c>
      <c r="G169" s="134" t="s">
        <v>352</v>
      </c>
      <c r="J169" s="134">
        <v>2030</v>
      </c>
      <c r="U169" s="134">
        <f>AC169</f>
        <v>5.0679101123595506E-3</v>
      </c>
      <c r="AC169" s="134">
        <f>'401.c Post comb - Cement kiln'!$D$12*IND_CCS!AN168</f>
        <v>5.0679101123595506E-3</v>
      </c>
    </row>
    <row r="170" spans="1:40">
      <c r="A170" s="134" t="str">
        <f>A169</f>
        <v>INDGDRHCOAN1</v>
      </c>
      <c r="C170" s="134" t="s">
        <v>341</v>
      </c>
      <c r="I170" s="134" t="str">
        <f>'[10]IND tech'!$I$132</f>
        <v>INDGWH</v>
      </c>
      <c r="J170" s="134">
        <v>2030</v>
      </c>
      <c r="V170" s="134" cm="1">
        <f t="array" ref="V170">INDEX('[10]IND tech'!$L$6:$V$182,MATCH($A168&amp;$J168,'[10]IND tech'!$A$6:$A$182&amp;'[10]IND tech'!$J$6:$J$182,0),MATCH(V$5,'[10]IND tech'!$L$3:$V$3,0))</f>
        <v>0.10999999999999999</v>
      </c>
    </row>
    <row r="171" spans="1:40">
      <c r="A171" s="134" t="str">
        <f>A170</f>
        <v>INDGDRHCOAN1</v>
      </c>
      <c r="I171" s="134" t="s">
        <v>777</v>
      </c>
      <c r="J171" s="134">
        <v>2030</v>
      </c>
      <c r="V171" s="134">
        <f>SUM(AL168:AM168)</f>
        <v>63.988764044943821</v>
      </c>
    </row>
    <row r="172" spans="1:40">
      <c r="A172" s="134" t="str">
        <f>IF(C172&gt;0,LEFT(C172,12),A171)</f>
        <v>INDGDRHCOAN1</v>
      </c>
      <c r="F172" s="134" t="str">
        <f>F168</f>
        <v>INDCOA</v>
      </c>
      <c r="H172" s="134" t="str">
        <f>H168</f>
        <v>IGDRH</v>
      </c>
      <c r="J172" s="134">
        <v>2050</v>
      </c>
      <c r="L172" s="124">
        <f>Z172+AA172</f>
        <v>0.78055248130416799</v>
      </c>
      <c r="N172" s="295" cm="1">
        <f t="array" ref="N172">INDEX('[10]IND tech'!$L$6:$V$182,MATCH($A172&amp;$J172,'[10]IND tech'!$A$6:$A$182&amp;'[10]IND tech'!$J$6:$J$182,0),MATCH(N$5,'[10]IND tech'!$L$3:$V$3,0))+AD172</f>
        <v>6.3026273670784558</v>
      </c>
      <c r="O172" s="295" cm="1">
        <f t="array" ref="O172">INDEX('[10]IND tech'!$L$6:$V$182,MATCH($A172&amp;$J172,'[10]IND tech'!$A$6:$A$182&amp;'[10]IND tech'!$J$6:$J$182,0),MATCH(O$5,'[10]IND tech'!$L$3:$V$3,0))+AE172</f>
        <v>0.31860686373626373</v>
      </c>
      <c r="P172" s="295" cm="1">
        <f t="array" ref="P172">INDEX('[10]IND tech'!$L$6:$V$182,MATCH($A172&amp;$J172,'[10]IND tech'!$A$6:$A$182&amp;'[10]IND tech'!$J$6:$J$182,0),MATCH(P$5,'[10]IND tech'!$L$3:$V$3,0))+AF172</f>
        <v>4.593802444444445</v>
      </c>
      <c r="W172" s="134">
        <v>3</v>
      </c>
      <c r="Z172" s="124" cm="1">
        <f t="array" ref="Z172">INDEX('[10]IND tech'!$L$6:$V$182,MATCH($A172&amp;$J172,'[10]IND tech'!$A$6:$A$182&amp;'[10]IND tech'!$J$6:$J$182,0),MATCH(Z$5,'[10]IND tech'!$L$3:$V$3,0))</f>
        <v>0.91</v>
      </c>
      <c r="AA172" s="134">
        <f>-AB172/(1+AB172)</f>
        <v>-0.12944751869583201</v>
      </c>
      <c r="AB172" s="134">
        <f>'401.c Post comb - Cement kiln'!$F$11*IND_CCS!AN172</f>
        <v>0.14869582417582419</v>
      </c>
      <c r="AD172" s="134">
        <f>'401.c Post comb - Cement kiln'!$F$28*7.45*AN172</f>
        <v>3.0212287912087916</v>
      </c>
      <c r="AE172" s="134">
        <f>'401.c Post comb - Cement kiln'!$F$34*IND_CCS!AN172*7.45</f>
        <v>9.0636863736263742E-2</v>
      </c>
      <c r="AF172" s="134">
        <f>$AG$8*'401.c Post comb - Cement kiln'!$F$35*7.45</f>
        <v>0.58735800000000005</v>
      </c>
      <c r="AL172" s="134">
        <f>[10]Emissions!$F$11/Z172</f>
        <v>62.582417582417584</v>
      </c>
      <c r="AM172" s="134">
        <f>IF(RIGHT(H172,2)="HT",$AT$4/$AT$5,0)</f>
        <v>0</v>
      </c>
      <c r="AN172" s="134">
        <f>$AG$8*(SUM($AL172:$AM172))*1000/8760</f>
        <v>0.22529670329670332</v>
      </c>
    </row>
    <row r="173" spans="1:40">
      <c r="A173" s="134" t="str">
        <f>A172</f>
        <v>INDGDRHCOAN1</v>
      </c>
      <c r="G173" s="134" t="s">
        <v>352</v>
      </c>
      <c r="J173" s="134">
        <v>2050</v>
      </c>
      <c r="U173" s="134">
        <f>AC173</f>
        <v>4.0553406593406595E-3</v>
      </c>
      <c r="AC173" s="134">
        <f>'401.c Post comb - Cement kiln'!$F$12*IND_CCS!AN172</f>
        <v>4.0553406593406595E-3</v>
      </c>
    </row>
    <row r="174" spans="1:40">
      <c r="A174" s="134" t="str">
        <f>A173</f>
        <v>INDGDRHCOAN1</v>
      </c>
      <c r="C174" s="134" t="s">
        <v>341</v>
      </c>
      <c r="I174" s="134" t="str">
        <f>'[10]IND tech'!$I$132</f>
        <v>INDGWH</v>
      </c>
      <c r="J174" s="134">
        <v>2050</v>
      </c>
      <c r="V174" s="134" cm="1">
        <f t="array" ref="V174">INDEX('[10]IND tech'!$L$6:$V$182,MATCH($A172&amp;$J172,'[10]IND tech'!$A$6:$A$182&amp;'[10]IND tech'!$J$6:$J$182,0),MATCH(V$5,'[10]IND tech'!$L$3:$V$3,0))</f>
        <v>8.9999999999999969E-2</v>
      </c>
    </row>
    <row r="175" spans="1:40">
      <c r="A175" s="134" t="str">
        <f>A174</f>
        <v>INDGDRHCOAN1</v>
      </c>
      <c r="I175" s="134" t="s">
        <v>777</v>
      </c>
      <c r="J175" s="134">
        <v>2050</v>
      </c>
      <c r="V175" s="134">
        <f>SUM(AL172:AM172)</f>
        <v>62.582417582417584</v>
      </c>
    </row>
    <row r="176" spans="1:40">
      <c r="A176" s="134" t="str">
        <f>IF(C176&gt;0,LEFT(C176,12),A175)</f>
        <v>INDGDMTCOAN2</v>
      </c>
      <c r="C176" s="134" t="str">
        <f>'[10]IND tech'!D174&amp;"CCS"</f>
        <v>INDGDMTCOAN2CCS</v>
      </c>
      <c r="D176" s="134" t="str">
        <f>'[10]IND tech'!E174&amp;"CCS"</f>
        <v>Industrial heating technology Glass &amp; Concrete MT - Coal boiler (Hot Water) - new 2CCS</v>
      </c>
      <c r="E176" s="134" t="s">
        <v>683</v>
      </c>
      <c r="F176" s="134" t="str">
        <f>'[10]IND tech'!$G$165</f>
        <v>INDCOA</v>
      </c>
      <c r="H176" s="134" t="str">
        <f>"IGD"&amp;MID(C176,6,2)</f>
        <v>IGDMT</v>
      </c>
      <c r="J176" s="134">
        <v>2020</v>
      </c>
      <c r="K176" s="134">
        <v>2020</v>
      </c>
      <c r="L176" s="124">
        <f>Z176+AA176</f>
        <v>0.72900394733445895</v>
      </c>
      <c r="M176" s="134" cm="1">
        <f t="array" ref="M176">INDEX('[10]IND tech'!$L$6:$V$182,MATCH($A176&amp;$J176,'[10]IND tech'!$A$6:$A$182&amp;'[10]IND tech'!$J$6:$J$182,0),MATCH(M$5,'[10]IND tech'!$L$3:$V$3,0))</f>
        <v>25</v>
      </c>
      <c r="N176" s="295" cm="1">
        <f t="array" ref="N176">INDEX('[10]IND tech'!$L$6:$V$182,MATCH($A176&amp;$J176,'[10]IND tech'!$A$6:$A$182&amp;'[10]IND tech'!$J$6:$J$182,0),MATCH(N$5,'[10]IND tech'!$L$3:$V$3,0))+AD176</f>
        <v>8.8735359550561803</v>
      </c>
      <c r="O176" s="295" cm="1">
        <f t="array" ref="O176">INDEX('[10]IND tech'!$L$6:$V$182,MATCH($A176&amp;$J176,'[10]IND tech'!$A$6:$A$182&amp;'[10]IND tech'!$J$6:$J$182,0),MATCH(O$5,'[10]IND tech'!$L$3:$V$3,0))+AE176</f>
        <v>0.40552107865168541</v>
      </c>
      <c r="P176" s="295" cm="1">
        <f t="array" ref="P176">INDEX('[10]IND tech'!$L$6:$V$182,MATCH($A176&amp;$J176,'[10]IND tech'!$A$6:$A$182&amp;'[10]IND tech'!$J$6:$J$182,0),MATCH(P$5,'[10]IND tech'!$L$3:$V$3,0))+AF176</f>
        <v>4.5255107777777779</v>
      </c>
      <c r="Q176" s="134" cm="1">
        <f t="array" ref="Q176">INDEX('[10]IND tech'!$L$6:$V$182,MATCH($A176&amp;$J176,'[10]IND tech'!$A$6:$A$182&amp;'[10]IND tech'!$J$6:$J$182,0),MATCH(Q$5,'[10]IND tech'!$L$3:$V$3,0))</f>
        <v>3.1536000000000002E-2</v>
      </c>
      <c r="R176" s="134">
        <v>0.95</v>
      </c>
      <c r="S176" s="134" cm="1">
        <f t="array" ref="S176">INDEX('[10]IND tech'!$L$6:$V$182,MATCH($A176&amp;$J176,'[10]IND tech'!$A$6:$A$182&amp;'[10]IND tech'!$J$6:$J$182,0),MATCH(S$5,'[10]IND tech'!$L$3:$V$3,0))</f>
        <v>0.5</v>
      </c>
      <c r="W176" s="134">
        <v>3</v>
      </c>
      <c r="Z176" s="124" cm="1">
        <f t="array" ref="Z176">INDEX('[10]IND tech'!$L$6:$V$182,MATCH($A176&amp;$J176,'[10]IND tech'!$A$6:$A$182&amp;'[10]IND tech'!$J$6:$J$182,0),MATCH(Z$5,'[10]IND tech'!$L$3:$V$3,0))</f>
        <v>0.89</v>
      </c>
      <c r="AA176" s="134">
        <f>-AB176/(1+AB176)</f>
        <v>-0.16099605266554101</v>
      </c>
      <c r="AB176" s="134">
        <f>'401.c Post comb - Cement kiln'!$B$11*IND_CCS!AN176</f>
        <v>0.19188950561797755</v>
      </c>
      <c r="AD176" s="134">
        <f>'401.c Post comb - Cement kiln'!$B$28*7.45*AN176</f>
        <v>5.1485359550561807</v>
      </c>
      <c r="AE176" s="134">
        <f>'401.c Post comb - Cement kiln'!$B$34*IND_CCS!AN176*7.45</f>
        <v>0.15445607865168542</v>
      </c>
      <c r="AF176" s="134">
        <f>$AG$8*'401.c Post comb - Cement kiln'!$B$35*7.45</f>
        <v>0.58735800000000005</v>
      </c>
      <c r="AG176" s="134">
        <f>8760*3.6/1000000</f>
        <v>3.1536000000000002E-2</v>
      </c>
      <c r="AL176" s="134">
        <f>[10]Emissions!$F$11/Z176</f>
        <v>63.988764044943821</v>
      </c>
      <c r="AM176" s="134">
        <f>IF(RIGHT(H176,2)="HT",$AT$4/$AT$5,0)</f>
        <v>0</v>
      </c>
      <c r="AN176" s="134">
        <f>$AG$8*(SUM($AL176:$AM176))*1000/8760</f>
        <v>0.23035955056179777</v>
      </c>
    </row>
    <row r="177" spans="1:40">
      <c r="A177" s="134" t="str">
        <f>A176</f>
        <v>INDGDMTCOAN2</v>
      </c>
      <c r="G177" s="134" t="s">
        <v>352</v>
      </c>
      <c r="J177" s="134">
        <v>2020</v>
      </c>
      <c r="U177" s="134">
        <f>AC177</f>
        <v>5.758988764044945E-3</v>
      </c>
      <c r="AC177" s="134">
        <f>'401.c Post comb - Cement kiln'!$B$12*IND_CCS!AN176</f>
        <v>5.758988764044945E-3</v>
      </c>
    </row>
    <row r="178" spans="1:40">
      <c r="A178" s="134" t="str">
        <f>A177</f>
        <v>INDGDMTCOAN2</v>
      </c>
      <c r="C178" s="134" t="s">
        <v>341</v>
      </c>
      <c r="I178" s="134" t="str">
        <f>'[10]IND tech'!$I$132</f>
        <v>INDGWH</v>
      </c>
      <c r="J178" s="134">
        <v>2020</v>
      </c>
      <c r="V178" s="134" cm="1">
        <f t="array" ref="V178">INDEX('[10]IND tech'!$L$6:$V$182,MATCH($A176&amp;$J176,'[10]IND tech'!$A$6:$A$182&amp;'[10]IND tech'!$J$6:$J$182,0),MATCH(V$5,'[10]IND tech'!$L$3:$V$3,0))</f>
        <v>0.31</v>
      </c>
    </row>
    <row r="179" spans="1:40">
      <c r="A179" s="134" t="str">
        <f>A178</f>
        <v>INDGDMTCOAN2</v>
      </c>
      <c r="I179" s="134" t="s">
        <v>777</v>
      </c>
      <c r="J179" s="134">
        <v>2020</v>
      </c>
      <c r="V179" s="134">
        <f>SUM(AL176:AM176)</f>
        <v>63.988764044943821</v>
      </c>
    </row>
    <row r="180" spans="1:40">
      <c r="A180" s="134" t="str">
        <f>IF(C180&gt;0,LEFT(C180,12),A179)</f>
        <v>INDGDMTCOAN2</v>
      </c>
      <c r="F180" s="134" t="str">
        <f>F176</f>
        <v>INDCOA</v>
      </c>
      <c r="H180" s="134" t="str">
        <f>H176</f>
        <v>IGDMT</v>
      </c>
      <c r="J180" s="134">
        <v>2030</v>
      </c>
      <c r="L180" s="124">
        <f>Z180+AA180</f>
        <v>0.74773674690713621</v>
      </c>
      <c r="N180" s="295" cm="1">
        <f t="array" ref="N180">INDEX('[10]IND tech'!$L$6:$V$182,MATCH($A180&amp;$J180,'[10]IND tech'!$A$6:$A$182&amp;'[10]IND tech'!$J$6:$J$182,0),MATCH(N$5,'[10]IND tech'!$L$3:$V$3,0))+AD180</f>
        <v>8.1870644943820228</v>
      </c>
      <c r="O180" s="295" cm="1">
        <f t="array" ref="O180">INDEX('[10]IND tech'!$L$6:$V$182,MATCH($A180&amp;$J180,'[10]IND tech'!$A$6:$A$182&amp;'[10]IND tech'!$J$6:$J$182,0),MATCH(O$5,'[10]IND tech'!$L$3:$V$3,0))+AE180</f>
        <v>0.37673193483146072</v>
      </c>
      <c r="P180" s="295" cm="1">
        <f t="array" ref="P180">INDEX('[10]IND tech'!$L$6:$V$182,MATCH($A180&amp;$J180,'[10]IND tech'!$A$6:$A$182&amp;'[10]IND tech'!$J$6:$J$182,0),MATCH(P$5,'[10]IND tech'!$L$3:$V$3,0))+AF180</f>
        <v>4.5710385555555559</v>
      </c>
      <c r="W180" s="134">
        <v>3</v>
      </c>
      <c r="Z180" s="124" cm="1">
        <f t="array" ref="Z180">INDEX('[10]IND tech'!$L$6:$V$182,MATCH($A180&amp;$J180,'[10]IND tech'!$A$6:$A$182&amp;'[10]IND tech'!$J$6:$J$182,0),MATCH(Z$5,'[10]IND tech'!$L$3:$V$3,0))</f>
        <v>0.89</v>
      </c>
      <c r="AA180" s="134">
        <f>-AB180/(1+AB180)</f>
        <v>-0.14226325309286381</v>
      </c>
      <c r="AB180" s="134">
        <f>'401.c Post comb - Cement kiln'!$D$11*IND_CCS!AN180</f>
        <v>0.1658588764044944</v>
      </c>
      <c r="AD180" s="134">
        <f>'401.c Post comb - Cement kiln'!$D$28*7.45*AN180</f>
        <v>4.4620644943820231</v>
      </c>
      <c r="AE180" s="134">
        <f>'401.c Post comb - Cement kiln'!$D$34*IND_CCS!AN180*7.45</f>
        <v>0.13386193483146069</v>
      </c>
      <c r="AF180" s="134">
        <f>$AG$8*'401.c Post comb - Cement kiln'!$D$35*7.45</f>
        <v>0.58735800000000005</v>
      </c>
      <c r="AL180" s="134">
        <f>[10]Emissions!$F$11/Z180</f>
        <v>63.988764044943821</v>
      </c>
      <c r="AM180" s="134">
        <f>IF(RIGHT(H180,2)="HT",$AT$4/$AT$5,0)</f>
        <v>0</v>
      </c>
      <c r="AN180" s="134">
        <f>$AG$8*(SUM($AL180:$AM180))*1000/8760</f>
        <v>0.23035955056179777</v>
      </c>
    </row>
    <row r="181" spans="1:40">
      <c r="A181" s="134" t="str">
        <f>A180</f>
        <v>INDGDMTCOAN2</v>
      </c>
      <c r="G181" s="134" t="s">
        <v>352</v>
      </c>
      <c r="J181" s="134">
        <v>2030</v>
      </c>
      <c r="U181" s="134">
        <f>AC181</f>
        <v>5.0679101123595506E-3</v>
      </c>
      <c r="AC181" s="134">
        <f>'401.c Post comb - Cement kiln'!$D$12*IND_CCS!AN180</f>
        <v>5.0679101123595506E-3</v>
      </c>
    </row>
    <row r="182" spans="1:40">
      <c r="A182" s="134" t="str">
        <f>A181</f>
        <v>INDGDMTCOAN2</v>
      </c>
      <c r="C182" s="134" t="s">
        <v>341</v>
      </c>
      <c r="I182" s="134" t="str">
        <f>'[10]IND tech'!$I$132</f>
        <v>INDGWH</v>
      </c>
      <c r="J182" s="134">
        <v>2030</v>
      </c>
      <c r="V182" s="134" cm="1">
        <f t="array" ref="V182">INDEX('[10]IND tech'!$L$6:$V$182,MATCH($A180&amp;$J180,'[10]IND tech'!$A$6:$A$182&amp;'[10]IND tech'!$J$6:$J$182,0),MATCH(V$5,'[10]IND tech'!$L$3:$V$3,0))</f>
        <v>0.31</v>
      </c>
    </row>
    <row r="183" spans="1:40">
      <c r="A183" s="134" t="str">
        <f>A182</f>
        <v>INDGDMTCOAN2</v>
      </c>
      <c r="I183" s="134" t="s">
        <v>777</v>
      </c>
      <c r="J183" s="134">
        <v>2030</v>
      </c>
      <c r="V183" s="134">
        <f>SUM(AL180:AM180)</f>
        <v>63.988764044943821</v>
      </c>
    </row>
    <row r="184" spans="1:40">
      <c r="A184" s="134" t="str">
        <f>IF(C184&gt;0,LEFT(C184,12),A183)</f>
        <v>INDGDMTCOAN2</v>
      </c>
      <c r="F184" s="134" t="str">
        <f>F180</f>
        <v>INDCOA</v>
      </c>
      <c r="H184" s="134" t="str">
        <f>H180</f>
        <v>IGDMT</v>
      </c>
      <c r="J184" s="134">
        <v>2050</v>
      </c>
      <c r="L184" s="124">
        <f>Z184+AA184</f>
        <v>0.78055248130416799</v>
      </c>
      <c r="N184" s="295" cm="1">
        <f t="array" ref="N184">INDEX('[10]IND tech'!$L$6:$V$182,MATCH($A184&amp;$J184,'[10]IND tech'!$A$6:$A$182&amp;'[10]IND tech'!$J$6:$J$182,0),MATCH(N$5,'[10]IND tech'!$L$3:$V$3,0))+AD184</f>
        <v>6.7462287912087913</v>
      </c>
      <c r="O184" s="295" cm="1">
        <f t="array" ref="O184">INDEX('[10]IND tech'!$L$6:$V$182,MATCH($A184&amp;$J184,'[10]IND tech'!$A$6:$A$182&amp;'[10]IND tech'!$J$6:$J$182,0),MATCH(O$5,'[10]IND tech'!$L$3:$V$3,0))+AE184</f>
        <v>0.31860686373626373</v>
      </c>
      <c r="P184" s="295" cm="1">
        <f t="array" ref="P184">INDEX('[10]IND tech'!$L$6:$V$182,MATCH($A184&amp;$J184,'[10]IND tech'!$A$6:$A$182&amp;'[10]IND tech'!$J$6:$J$182,0),MATCH(P$5,'[10]IND tech'!$L$3:$V$3,0))+AF184</f>
        <v>4.593802444444445</v>
      </c>
      <c r="W184" s="134">
        <v>3</v>
      </c>
      <c r="Z184" s="124" cm="1">
        <f t="array" ref="Z184">INDEX('[10]IND tech'!$L$6:$V$182,MATCH($A184&amp;$J184,'[10]IND tech'!$A$6:$A$182&amp;'[10]IND tech'!$J$6:$J$182,0),MATCH(Z$5,'[10]IND tech'!$L$3:$V$3,0))</f>
        <v>0.91</v>
      </c>
      <c r="AA184" s="134">
        <f>-AB184/(1+AB184)</f>
        <v>-0.12944751869583201</v>
      </c>
      <c r="AB184" s="134">
        <f>'401.c Post comb - Cement kiln'!$F$11*IND_CCS!AN184</f>
        <v>0.14869582417582419</v>
      </c>
      <c r="AD184" s="134">
        <f>'401.c Post comb - Cement kiln'!$F$28*7.45*AN184</f>
        <v>3.0212287912087916</v>
      </c>
      <c r="AE184" s="134">
        <f>'401.c Post comb - Cement kiln'!$F$34*IND_CCS!AN184*7.45</f>
        <v>9.0636863736263742E-2</v>
      </c>
      <c r="AF184" s="134">
        <f>$AG$8*'401.c Post comb - Cement kiln'!$F$35*7.45</f>
        <v>0.58735800000000005</v>
      </c>
      <c r="AL184" s="134">
        <f>[10]Emissions!$F$11/Z184</f>
        <v>62.582417582417584</v>
      </c>
      <c r="AM184" s="134">
        <f>IF(RIGHT(H184,2)="HT",$AT$4/$AT$5,0)</f>
        <v>0</v>
      </c>
      <c r="AN184" s="134">
        <f>$AG$8*(SUM($AL184:$AM184))*1000/8760</f>
        <v>0.22529670329670332</v>
      </c>
    </row>
    <row r="185" spans="1:40">
      <c r="A185" s="134" t="str">
        <f>A184</f>
        <v>INDGDMTCOAN2</v>
      </c>
      <c r="G185" s="134" t="s">
        <v>352</v>
      </c>
      <c r="J185" s="134">
        <v>2050</v>
      </c>
      <c r="U185" s="134">
        <f>AC185</f>
        <v>4.0553406593406595E-3</v>
      </c>
      <c r="AC185" s="134">
        <f>'401.c Post comb - Cement kiln'!$F$12*IND_CCS!AN184</f>
        <v>4.0553406593406595E-3</v>
      </c>
    </row>
    <row r="186" spans="1:40">
      <c r="A186" s="134" t="str">
        <f>A185</f>
        <v>INDGDMTCOAN2</v>
      </c>
      <c r="C186" s="134" t="s">
        <v>341</v>
      </c>
      <c r="I186" s="134" t="str">
        <f>'[10]IND tech'!$I$132</f>
        <v>INDGWH</v>
      </c>
      <c r="J186" s="134">
        <v>2050</v>
      </c>
      <c r="V186" s="134" cm="1">
        <f t="array" ref="V186">INDEX('[10]IND tech'!$L$6:$V$182,MATCH($A184&amp;$J184,'[10]IND tech'!$A$6:$A$182&amp;'[10]IND tech'!$J$6:$J$182,0),MATCH(V$5,'[10]IND tech'!$L$3:$V$3,0))</f>
        <v>0.28999999999999998</v>
      </c>
    </row>
    <row r="187" spans="1:40">
      <c r="A187" s="134" t="str">
        <f>A186</f>
        <v>INDGDMTCOAN2</v>
      </c>
      <c r="I187" s="134" t="s">
        <v>777</v>
      </c>
      <c r="J187" s="134">
        <v>2050</v>
      </c>
      <c r="V187" s="134">
        <f>SUM(AL184:AM184)</f>
        <v>62.582417582417584</v>
      </c>
    </row>
    <row r="188" spans="1:40">
      <c r="A188" s="134" t="str">
        <f>IF(C188&gt;0,LEFT(C188,12),A187)</f>
        <v>INDGDRHCOAN2</v>
      </c>
      <c r="C188" s="134" t="str">
        <f>'[10]IND tech'!D177&amp;"CCS"</f>
        <v>INDGDRHCOAN2CCS</v>
      </c>
      <c r="D188" s="134" t="str">
        <f>'[10]IND tech'!E177&amp;"CCS"</f>
        <v>Industrial heating technology Glass &amp; Concrete RH - Coal boiler (Hot Water) - new 2CCS</v>
      </c>
      <c r="E188" s="134" t="s">
        <v>683</v>
      </c>
      <c r="F188" s="134" t="str">
        <f>'[10]IND tech'!$G$165</f>
        <v>INDCOA</v>
      </c>
      <c r="H188" s="134" t="str">
        <f>"IGD"&amp;MID(C188,6,2)</f>
        <v>IGDRH</v>
      </c>
      <c r="J188" s="134">
        <v>2020</v>
      </c>
      <c r="K188" s="134">
        <v>2020</v>
      </c>
      <c r="L188" s="124">
        <f>Z188+AA188</f>
        <v>0.72900394733445895</v>
      </c>
      <c r="M188" s="134" cm="1">
        <f t="array" ref="M188">INDEX('[10]IND tech'!$L$6:$V$182,MATCH($A188&amp;$J188,'[10]IND tech'!$A$6:$A$182&amp;'[10]IND tech'!$J$6:$J$182,0),MATCH(M$5,'[10]IND tech'!$L$3:$V$3,0))</f>
        <v>25</v>
      </c>
      <c r="N188" s="295" cm="1">
        <f t="array" ref="N188">INDEX('[10]IND tech'!$L$6:$V$182,MATCH($A188&amp;$J188,'[10]IND tech'!$A$6:$A$182&amp;'[10]IND tech'!$J$6:$J$182,0),MATCH(N$5,'[10]IND tech'!$L$3:$V$3,0))+AD188</f>
        <v>8.8735359550561803</v>
      </c>
      <c r="O188" s="295" cm="1">
        <f t="array" ref="O188">INDEX('[10]IND tech'!$L$6:$V$182,MATCH($A188&amp;$J188,'[10]IND tech'!$A$6:$A$182&amp;'[10]IND tech'!$J$6:$J$182,0),MATCH(O$5,'[10]IND tech'!$L$3:$V$3,0))+AE188</f>
        <v>0.40552107865168541</v>
      </c>
      <c r="P188" s="295" cm="1">
        <f t="array" ref="P188">INDEX('[10]IND tech'!$L$6:$V$182,MATCH($A188&amp;$J188,'[10]IND tech'!$A$6:$A$182&amp;'[10]IND tech'!$J$6:$J$182,0),MATCH(P$5,'[10]IND tech'!$L$3:$V$3,0))+AF188</f>
        <v>4.5255107777777779</v>
      </c>
      <c r="Q188" s="134" cm="1">
        <f t="array" ref="Q188">INDEX('[10]IND tech'!$L$6:$V$182,MATCH($A188&amp;$J188,'[10]IND tech'!$A$6:$A$182&amp;'[10]IND tech'!$J$6:$J$182,0),MATCH(Q$5,'[10]IND tech'!$L$3:$V$3,0))</f>
        <v>3.1536000000000002E-2</v>
      </c>
      <c r="R188" s="134">
        <v>0.95</v>
      </c>
      <c r="S188" s="134" cm="1">
        <f t="array" ref="S188">INDEX('[10]IND tech'!$L$6:$V$182,MATCH($A188&amp;$J188,'[10]IND tech'!$A$6:$A$182&amp;'[10]IND tech'!$J$6:$J$182,0),MATCH(S$5,'[10]IND tech'!$L$3:$V$3,0))</f>
        <v>1</v>
      </c>
      <c r="W188" s="134">
        <v>3</v>
      </c>
      <c r="Z188" s="124" cm="1">
        <f t="array" ref="Z188">INDEX('[10]IND tech'!$L$6:$V$182,MATCH($A188&amp;$J188,'[10]IND tech'!$A$6:$A$182&amp;'[10]IND tech'!$J$6:$J$182,0),MATCH(Z$5,'[10]IND tech'!$L$3:$V$3,0))</f>
        <v>0.89</v>
      </c>
      <c r="AA188" s="134">
        <f>-AB188/(1+AB188)</f>
        <v>-0.16099605266554101</v>
      </c>
      <c r="AB188" s="134">
        <f>'401.c Post comb - Cement kiln'!$B$11*IND_CCS!AN188</f>
        <v>0.19188950561797755</v>
      </c>
      <c r="AD188" s="134">
        <f>'401.c Post comb - Cement kiln'!$B$28*7.45*AN188</f>
        <v>5.1485359550561807</v>
      </c>
      <c r="AE188" s="134">
        <f>'401.c Post comb - Cement kiln'!$B$34*IND_CCS!AN188*7.45</f>
        <v>0.15445607865168542</v>
      </c>
      <c r="AF188" s="134">
        <f>$AG$8*'401.c Post comb - Cement kiln'!$B$35*7.45</f>
        <v>0.58735800000000005</v>
      </c>
      <c r="AG188" s="134">
        <f>8760*3.6/1000000</f>
        <v>3.1536000000000002E-2</v>
      </c>
      <c r="AL188" s="134">
        <f>[10]Emissions!$F$11/Z188</f>
        <v>63.988764044943821</v>
      </c>
      <c r="AM188" s="134">
        <f>IF(RIGHT(H188,2)="HT",$AT$4/$AT$5,0)</f>
        <v>0</v>
      </c>
      <c r="AN188" s="134">
        <f>$AG$8*(SUM($AL188:$AM188))*1000/8760</f>
        <v>0.23035955056179777</v>
      </c>
    </row>
    <row r="189" spans="1:40">
      <c r="A189" s="134" t="str">
        <f>A188</f>
        <v>INDGDRHCOAN2</v>
      </c>
      <c r="G189" s="134" t="s">
        <v>352</v>
      </c>
      <c r="J189" s="134">
        <v>2020</v>
      </c>
      <c r="U189" s="134">
        <f>AC189</f>
        <v>5.758988764044945E-3</v>
      </c>
      <c r="AC189" s="134">
        <f>'401.c Post comb - Cement kiln'!$B$12*IND_CCS!AN188</f>
        <v>5.758988764044945E-3</v>
      </c>
    </row>
    <row r="190" spans="1:40">
      <c r="A190" s="134" t="str">
        <f>A189</f>
        <v>INDGDRHCOAN2</v>
      </c>
      <c r="C190" s="134" t="s">
        <v>341</v>
      </c>
      <c r="I190" s="134" t="str">
        <f>'[10]IND tech'!$I$132</f>
        <v>INDGWH</v>
      </c>
      <c r="J190" s="134">
        <v>2020</v>
      </c>
      <c r="V190" s="134" cm="1">
        <f t="array" ref="V190">INDEX('[10]IND tech'!$L$6:$V$182,MATCH($A188&amp;$J188,'[10]IND tech'!$A$6:$A$182&amp;'[10]IND tech'!$J$6:$J$182,0),MATCH(V$5,'[10]IND tech'!$L$3:$V$3,0))</f>
        <v>0.10999999999999999</v>
      </c>
    </row>
    <row r="191" spans="1:40">
      <c r="A191" s="134" t="str">
        <f>A190</f>
        <v>INDGDRHCOAN2</v>
      </c>
      <c r="I191" s="134" t="s">
        <v>777</v>
      </c>
      <c r="J191" s="134">
        <v>2020</v>
      </c>
      <c r="V191" s="134">
        <f>SUM(AL188:AM188)</f>
        <v>63.988764044943821</v>
      </c>
    </row>
    <row r="192" spans="1:40">
      <c r="A192" s="134" t="str">
        <f>IF(C192&gt;0,LEFT(C192,12),A191)</f>
        <v>INDGDRHCOAN2</v>
      </c>
      <c r="F192" s="134" t="str">
        <f>F188</f>
        <v>INDCOA</v>
      </c>
      <c r="H192" s="134" t="str">
        <f>H188</f>
        <v>IGDRH</v>
      </c>
      <c r="J192" s="134">
        <v>2030</v>
      </c>
      <c r="L192" s="124">
        <f>Z192+AA192</f>
        <v>0.74773674690713621</v>
      </c>
      <c r="N192" s="295" cm="1">
        <f t="array" ref="N192">INDEX('[10]IND tech'!$L$6:$V$182,MATCH($A192&amp;$J192,'[10]IND tech'!$A$6:$A$182&amp;'[10]IND tech'!$J$6:$J$182,0),MATCH(N$5,'[10]IND tech'!$L$3:$V$3,0))+AD192</f>
        <v>8.1870644943820228</v>
      </c>
      <c r="O192" s="295" cm="1">
        <f t="array" ref="O192">INDEX('[10]IND tech'!$L$6:$V$182,MATCH($A192&amp;$J192,'[10]IND tech'!$A$6:$A$182&amp;'[10]IND tech'!$J$6:$J$182,0),MATCH(O$5,'[10]IND tech'!$L$3:$V$3,0))+AE192</f>
        <v>0.37673193483146072</v>
      </c>
      <c r="P192" s="295" cm="1">
        <f t="array" ref="P192">INDEX('[10]IND tech'!$L$6:$V$182,MATCH($A192&amp;$J192,'[10]IND tech'!$A$6:$A$182&amp;'[10]IND tech'!$J$6:$J$182,0),MATCH(P$5,'[10]IND tech'!$L$3:$V$3,0))+AF192</f>
        <v>4.5710385555555559</v>
      </c>
      <c r="W192" s="134">
        <v>3</v>
      </c>
      <c r="Z192" s="124" cm="1">
        <f t="array" ref="Z192">INDEX('[10]IND tech'!$L$6:$V$182,MATCH($A192&amp;$J192,'[10]IND tech'!$A$6:$A$182&amp;'[10]IND tech'!$J$6:$J$182,0),MATCH(Z$5,'[10]IND tech'!$L$3:$V$3,0))</f>
        <v>0.89</v>
      </c>
      <c r="AA192" s="134">
        <f>-AB192/(1+AB192)</f>
        <v>-0.14226325309286381</v>
      </c>
      <c r="AB192" s="134">
        <f>'401.c Post comb - Cement kiln'!$D$11*IND_CCS!AN192</f>
        <v>0.1658588764044944</v>
      </c>
      <c r="AD192" s="134">
        <f>'401.c Post comb - Cement kiln'!$D$28*7.45*AN192</f>
        <v>4.4620644943820231</v>
      </c>
      <c r="AE192" s="134">
        <f>'401.c Post comb - Cement kiln'!$D$34*IND_CCS!AN192*7.45</f>
        <v>0.13386193483146069</v>
      </c>
      <c r="AF192" s="134">
        <f>$AG$8*'401.c Post comb - Cement kiln'!$D$35*7.45</f>
        <v>0.58735800000000005</v>
      </c>
      <c r="AL192" s="134">
        <f>[10]Emissions!$F$11/Z192</f>
        <v>63.988764044943821</v>
      </c>
      <c r="AM192" s="134">
        <f>IF(RIGHT(H192,2)="HT",$AT$4/$AT$5,0)</f>
        <v>0</v>
      </c>
      <c r="AN192" s="134">
        <f>$AG$8*(SUM($AL192:$AM192))*1000/8760</f>
        <v>0.23035955056179777</v>
      </c>
    </row>
    <row r="193" spans="1:40">
      <c r="A193" s="134" t="str">
        <f>A192</f>
        <v>INDGDRHCOAN2</v>
      </c>
      <c r="G193" s="134" t="s">
        <v>352</v>
      </c>
      <c r="J193" s="134">
        <v>2030</v>
      </c>
      <c r="U193" s="134">
        <f>AC193</f>
        <v>5.0679101123595506E-3</v>
      </c>
      <c r="AC193" s="134">
        <f>'401.c Post comb - Cement kiln'!$D$12*IND_CCS!AN192</f>
        <v>5.0679101123595506E-3</v>
      </c>
    </row>
    <row r="194" spans="1:40">
      <c r="A194" s="134" t="str">
        <f>A193</f>
        <v>INDGDRHCOAN2</v>
      </c>
      <c r="C194" s="134" t="s">
        <v>341</v>
      </c>
      <c r="I194" s="134" t="str">
        <f>'[10]IND tech'!$I$132</f>
        <v>INDGWH</v>
      </c>
      <c r="J194" s="134">
        <v>2030</v>
      </c>
      <c r="V194" s="134" cm="1">
        <f t="array" ref="V194">INDEX('[10]IND tech'!$L$6:$V$182,MATCH($A192&amp;$J192,'[10]IND tech'!$A$6:$A$182&amp;'[10]IND tech'!$J$6:$J$182,0),MATCH(V$5,'[10]IND tech'!$L$3:$V$3,0))</f>
        <v>0.10999999999999999</v>
      </c>
    </row>
    <row r="195" spans="1:40">
      <c r="A195" s="134" t="str">
        <f>A194</f>
        <v>INDGDRHCOAN2</v>
      </c>
      <c r="I195" s="134" t="s">
        <v>777</v>
      </c>
      <c r="J195" s="134">
        <v>2030</v>
      </c>
      <c r="V195" s="134">
        <f>SUM(AL192:AM192)</f>
        <v>63.988764044943821</v>
      </c>
    </row>
    <row r="196" spans="1:40">
      <c r="A196" s="134" t="str">
        <f>IF(C196&gt;0,LEFT(C196,12),A195)</f>
        <v>INDGDRHCOAN2</v>
      </c>
      <c r="F196" s="134" t="str">
        <f>F192</f>
        <v>INDCOA</v>
      </c>
      <c r="H196" s="134" t="str">
        <f>H192</f>
        <v>IGDRH</v>
      </c>
      <c r="J196" s="134">
        <v>2050</v>
      </c>
      <c r="L196" s="124">
        <f>Z196+AA196</f>
        <v>0.78055248130416799</v>
      </c>
      <c r="N196" s="295" cm="1">
        <f t="array" ref="N196">INDEX('[10]IND tech'!$L$6:$V$182,MATCH($A196&amp;$J196,'[10]IND tech'!$A$6:$A$182&amp;'[10]IND tech'!$J$6:$J$182,0),MATCH(N$5,'[10]IND tech'!$L$3:$V$3,0))+AD196</f>
        <v>6.7462287912087913</v>
      </c>
      <c r="O196" s="295" cm="1">
        <f t="array" ref="O196">INDEX('[10]IND tech'!$L$6:$V$182,MATCH($A196&amp;$J196,'[10]IND tech'!$A$6:$A$182&amp;'[10]IND tech'!$J$6:$J$182,0),MATCH(O$5,'[10]IND tech'!$L$3:$V$3,0))+AE196</f>
        <v>0.31860686373626373</v>
      </c>
      <c r="P196" s="295" cm="1">
        <f t="array" ref="P196">INDEX('[10]IND tech'!$L$6:$V$182,MATCH($A196&amp;$J196,'[10]IND tech'!$A$6:$A$182&amp;'[10]IND tech'!$J$6:$J$182,0),MATCH(P$5,'[10]IND tech'!$L$3:$V$3,0))+AF196</f>
        <v>4.593802444444445</v>
      </c>
      <c r="W196" s="134">
        <v>3</v>
      </c>
      <c r="Z196" s="124" cm="1">
        <f t="array" ref="Z196">INDEX('[10]IND tech'!$L$6:$V$182,MATCH($A196&amp;$J196,'[10]IND tech'!$A$6:$A$182&amp;'[10]IND tech'!$J$6:$J$182,0),MATCH(Z$5,'[10]IND tech'!$L$3:$V$3,0))</f>
        <v>0.91</v>
      </c>
      <c r="AA196" s="134">
        <f>-AB196/(1+AB196)</f>
        <v>-0.12944751869583201</v>
      </c>
      <c r="AB196" s="134">
        <f>'401.c Post comb - Cement kiln'!$F$11*IND_CCS!AN196</f>
        <v>0.14869582417582419</v>
      </c>
      <c r="AD196" s="134">
        <f>'401.c Post comb - Cement kiln'!$F$28*7.45*AN196</f>
        <v>3.0212287912087916</v>
      </c>
      <c r="AE196" s="134">
        <f>'401.c Post comb - Cement kiln'!$F$34*IND_CCS!AN196*7.45</f>
        <v>9.0636863736263742E-2</v>
      </c>
      <c r="AF196" s="134">
        <f>$AG$8*'401.c Post comb - Cement kiln'!$F$35*7.45</f>
        <v>0.58735800000000005</v>
      </c>
      <c r="AL196" s="134">
        <f>[10]Emissions!$F$11/Z196</f>
        <v>62.582417582417584</v>
      </c>
      <c r="AM196" s="134">
        <f>IF(RIGHT(H196,2)="HT",$AT$4/$AT$5,0)</f>
        <v>0</v>
      </c>
      <c r="AN196" s="134">
        <f>$AG$8*(SUM($AL196:$AM196))*1000/8760</f>
        <v>0.22529670329670332</v>
      </c>
    </row>
    <row r="197" spans="1:40">
      <c r="A197" s="134" t="str">
        <f>A196</f>
        <v>INDGDRHCOAN2</v>
      </c>
      <c r="G197" s="134" t="s">
        <v>352</v>
      </c>
      <c r="J197" s="134">
        <v>2050</v>
      </c>
      <c r="U197" s="134">
        <f>AC197</f>
        <v>4.0553406593406595E-3</v>
      </c>
      <c r="AC197" s="134">
        <f>'401.c Post comb - Cement kiln'!$F$12*IND_CCS!AN196</f>
        <v>4.0553406593406595E-3</v>
      </c>
    </row>
    <row r="198" spans="1:40">
      <c r="A198" s="134" t="str">
        <f>A197</f>
        <v>INDGDRHCOAN2</v>
      </c>
      <c r="C198" s="134" t="s">
        <v>341</v>
      </c>
      <c r="I198" s="134" t="str">
        <f>'[10]IND tech'!$I$132</f>
        <v>INDGWH</v>
      </c>
      <c r="J198" s="134">
        <v>2050</v>
      </c>
      <c r="V198" s="134" cm="1">
        <f t="array" ref="V198">INDEX('[10]IND tech'!$L$6:$V$182,MATCH($A196&amp;$J196,'[10]IND tech'!$A$6:$A$182&amp;'[10]IND tech'!$J$6:$J$182,0),MATCH(V$5,'[10]IND tech'!$L$3:$V$3,0))</f>
        <v>8.9999999999999969E-2</v>
      </c>
    </row>
    <row r="199" spans="1:40">
      <c r="A199" s="134" t="str">
        <f>A198</f>
        <v>INDGDRHCOAN2</v>
      </c>
      <c r="I199" s="134" t="s">
        <v>777</v>
      </c>
      <c r="J199" s="134">
        <v>2050</v>
      </c>
      <c r="V199" s="134">
        <f>SUM(AL196:AM196)</f>
        <v>62.582417582417584</v>
      </c>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AB454"/>
  <sheetViews>
    <sheetView zoomScale="80" zoomScaleNormal="80" workbookViewId="0">
      <pane xSplit="3" ySplit="5" topLeftCell="Q6" activePane="bottomRight" state="frozen"/>
      <selection pane="topRight" activeCell="D1" sqref="D1"/>
      <selection pane="bottomLeft" activeCell="A6" sqref="A6"/>
      <selection pane="bottomRight" activeCell="Z30" sqref="Z30"/>
    </sheetView>
  </sheetViews>
  <sheetFormatPr defaultRowHeight="14.4"/>
  <cols>
    <col min="1" max="1" width="8.88671875" style="134"/>
    <col min="2" max="2" width="21.33203125" bestFit="1" customWidth="1"/>
    <col min="3" max="3" width="75.5546875" bestFit="1" customWidth="1"/>
    <col min="4" max="4" width="11.5546875" bestFit="1" customWidth="1"/>
    <col min="5" max="5" width="11.109375" bestFit="1" customWidth="1"/>
    <col min="6" max="6" width="10.6640625" bestFit="1" customWidth="1"/>
    <col min="7" max="7" width="24.33203125" bestFit="1" customWidth="1"/>
    <col min="8" max="8" width="24.33203125" style="134" customWidth="1"/>
    <col min="22" max="23" width="9.109375" style="134"/>
    <col min="28" max="28" width="9.109375" style="134"/>
  </cols>
  <sheetData>
    <row r="1" spans="2:28" s="134" customFormat="1"/>
    <row r="2" spans="2:28">
      <c r="B2" s="114"/>
      <c r="C2" s="114"/>
      <c r="D2" s="114"/>
      <c r="E2" s="114"/>
      <c r="F2" s="114"/>
      <c r="G2" s="114"/>
      <c r="H2" s="114"/>
      <c r="I2" s="4" t="s">
        <v>0</v>
      </c>
      <c r="J2" s="114"/>
      <c r="K2" s="114"/>
      <c r="L2" s="114"/>
      <c r="M2" s="114"/>
      <c r="N2" s="114"/>
      <c r="O2" s="114"/>
      <c r="P2" s="114"/>
      <c r="Q2" s="114"/>
      <c r="R2" s="114"/>
    </row>
    <row r="3" spans="2:28" s="125" customFormat="1" ht="27.6">
      <c r="B3" s="129" t="s">
        <v>1</v>
      </c>
      <c r="C3" s="129" t="s">
        <v>2</v>
      </c>
      <c r="D3" s="129" t="s">
        <v>3</v>
      </c>
      <c r="E3" s="129" t="s">
        <v>59</v>
      </c>
      <c r="F3" s="130" t="s">
        <v>4</v>
      </c>
      <c r="G3" s="129" t="s">
        <v>184</v>
      </c>
      <c r="H3" s="243" t="s">
        <v>681</v>
      </c>
      <c r="I3" s="129" t="s">
        <v>5</v>
      </c>
      <c r="J3" s="129" t="s">
        <v>6</v>
      </c>
      <c r="K3" s="129" t="s">
        <v>167</v>
      </c>
      <c r="L3" s="129" t="s">
        <v>7</v>
      </c>
      <c r="M3" s="129" t="s">
        <v>8</v>
      </c>
      <c r="N3" s="129" t="s">
        <v>9</v>
      </c>
      <c r="O3" s="129" t="s">
        <v>10</v>
      </c>
      <c r="P3" s="129" t="s">
        <v>11</v>
      </c>
      <c r="Q3" s="129" t="s">
        <v>12</v>
      </c>
      <c r="R3" s="129" t="s">
        <v>19</v>
      </c>
      <c r="S3" s="129" t="s">
        <v>190</v>
      </c>
      <c r="T3" s="5" t="s">
        <v>172</v>
      </c>
      <c r="U3" s="357" t="s">
        <v>786</v>
      </c>
      <c r="W3" s="129" t="s">
        <v>167</v>
      </c>
      <c r="X3" s="129" t="s">
        <v>7</v>
      </c>
      <c r="Y3" s="129" t="s">
        <v>8</v>
      </c>
      <c r="Z3" s="129" t="s">
        <v>9</v>
      </c>
      <c r="AA3" s="129" t="s">
        <v>10</v>
      </c>
      <c r="AB3" s="129" t="s">
        <v>190</v>
      </c>
    </row>
    <row r="4" spans="2:28" s="128" customFormat="1" ht="60.6" customHeight="1">
      <c r="B4" s="126" t="s">
        <v>13</v>
      </c>
      <c r="C4" s="126"/>
      <c r="D4" s="126" t="s">
        <v>67</v>
      </c>
      <c r="E4" s="126" t="s">
        <v>225</v>
      </c>
      <c r="F4" s="127" t="s">
        <v>68</v>
      </c>
      <c r="G4" s="126" t="s">
        <v>185</v>
      </c>
      <c r="H4" s="7"/>
      <c r="I4" s="126"/>
      <c r="J4" s="126" t="s">
        <v>66</v>
      </c>
      <c r="K4" s="126" t="s">
        <v>254</v>
      </c>
      <c r="L4" s="126" t="s">
        <v>174</v>
      </c>
      <c r="M4" s="126" t="s">
        <v>63</v>
      </c>
      <c r="N4" s="126" t="s">
        <v>64</v>
      </c>
      <c r="O4" s="126" t="s">
        <v>65</v>
      </c>
      <c r="P4" s="126" t="s">
        <v>60</v>
      </c>
      <c r="Q4" s="126" t="s">
        <v>61</v>
      </c>
      <c r="R4" s="126" t="s">
        <v>62</v>
      </c>
      <c r="S4" s="126" t="s">
        <v>661</v>
      </c>
      <c r="T4" s="7" t="s">
        <v>178</v>
      </c>
      <c r="W4" s="126" t="s">
        <v>254</v>
      </c>
      <c r="X4" s="126" t="s">
        <v>174</v>
      </c>
      <c r="Y4" s="126" t="s">
        <v>63</v>
      </c>
      <c r="Z4" s="126" t="s">
        <v>64</v>
      </c>
      <c r="AA4" s="126" t="s">
        <v>65</v>
      </c>
      <c r="AB4" s="126" t="s">
        <v>661</v>
      </c>
    </row>
    <row r="5" spans="2:28" ht="15" thickBot="1">
      <c r="B5" s="9" t="s">
        <v>14</v>
      </c>
      <c r="C5" s="10"/>
      <c r="D5" s="10"/>
      <c r="E5" s="10"/>
      <c r="F5" s="81"/>
      <c r="G5" s="10"/>
      <c r="H5" s="81" t="s">
        <v>682</v>
      </c>
      <c r="I5" s="10"/>
      <c r="J5" s="10"/>
      <c r="K5" s="10" t="s">
        <v>255</v>
      </c>
      <c r="L5" s="10"/>
      <c r="M5" s="10" t="s">
        <v>252</v>
      </c>
      <c r="N5" s="10" t="s">
        <v>252</v>
      </c>
      <c r="O5" s="10" t="s">
        <v>253</v>
      </c>
      <c r="P5" s="10" t="s">
        <v>15</v>
      </c>
      <c r="Q5" s="10" t="s">
        <v>15</v>
      </c>
      <c r="R5" s="10" t="s">
        <v>16</v>
      </c>
      <c r="S5" s="10"/>
      <c r="T5" s="10" t="s">
        <v>181</v>
      </c>
      <c r="W5" s="10" t="s">
        <v>255</v>
      </c>
      <c r="X5" s="10"/>
      <c r="Y5" s="10" t="s">
        <v>252</v>
      </c>
      <c r="Z5" s="10" t="s">
        <v>252</v>
      </c>
      <c r="AA5" s="10" t="s">
        <v>253</v>
      </c>
      <c r="AB5" s="10"/>
    </row>
    <row r="6" spans="2:28">
      <c r="B6" s="133" t="s">
        <v>238</v>
      </c>
      <c r="C6" s="115" t="s">
        <v>243</v>
      </c>
      <c r="D6" s="115" t="s">
        <v>665</v>
      </c>
      <c r="E6" s="115"/>
      <c r="F6" s="115" t="s">
        <v>248</v>
      </c>
      <c r="G6" s="116"/>
      <c r="H6" s="244" t="s">
        <v>683</v>
      </c>
      <c r="I6" s="115">
        <v>2020</v>
      </c>
      <c r="J6" s="115">
        <v>2030</v>
      </c>
      <c r="L6" s="131">
        <f>X6</f>
        <v>0.71399999999999997</v>
      </c>
      <c r="M6" s="131">
        <f>Y6+CCS!$M$54*7.45/1000</f>
        <v>9.1138333333333339</v>
      </c>
      <c r="N6" s="131">
        <f>IND_CCS_N_CAP!M6*CCS!$C$59/100</f>
        <v>0.22784583333333333</v>
      </c>
      <c r="O6" s="131">
        <f>AA6+CCS!$L$60/3.6*7.45</f>
        <v>18.831944444444446</v>
      </c>
      <c r="P6" s="97">
        <v>3.1536000000000002E-2</v>
      </c>
      <c r="Q6" s="97">
        <v>0.5</v>
      </c>
      <c r="R6" s="115">
        <v>25</v>
      </c>
      <c r="S6" s="121"/>
      <c r="T6">
        <v>1</v>
      </c>
      <c r="U6">
        <v>1</v>
      </c>
      <c r="X6" s="134">
        <v>0.71399999999999997</v>
      </c>
      <c r="Y6" s="134">
        <v>0.91883333333333339</v>
      </c>
      <c r="Z6" s="134">
        <v>2.98E-2</v>
      </c>
      <c r="AA6" s="134">
        <v>14.9</v>
      </c>
    </row>
    <row r="7" spans="2:28">
      <c r="B7" s="64"/>
      <c r="C7" s="94"/>
      <c r="E7" s="115" t="s">
        <v>352</v>
      </c>
      <c r="F7" s="115"/>
      <c r="G7" s="116"/>
      <c r="H7" s="244" t="s">
        <v>683</v>
      </c>
      <c r="I7" s="115">
        <v>2020</v>
      </c>
      <c r="J7" s="115"/>
      <c r="K7" s="131">
        <f>CCS!$T$52</f>
        <v>0.2391304347826087</v>
      </c>
      <c r="L7" s="131"/>
      <c r="M7" s="131"/>
      <c r="N7" s="131"/>
      <c r="O7" s="131"/>
      <c r="P7" s="97"/>
      <c r="Q7" s="97"/>
      <c r="R7" s="115"/>
      <c r="S7" s="121"/>
      <c r="T7" s="121"/>
      <c r="X7" s="134"/>
      <c r="Y7" s="134"/>
      <c r="Z7" s="134"/>
      <c r="AA7" s="134"/>
    </row>
    <row r="8" spans="2:28">
      <c r="B8" s="64"/>
      <c r="C8" s="94"/>
      <c r="D8" s="115"/>
      <c r="E8" s="115"/>
      <c r="F8" s="115"/>
      <c r="G8" s="114" t="s">
        <v>777</v>
      </c>
      <c r="H8" s="244" t="s">
        <v>683</v>
      </c>
      <c r="I8" s="115">
        <v>2020</v>
      </c>
      <c r="J8" s="115"/>
      <c r="L8" s="131"/>
      <c r="M8" s="131"/>
      <c r="N8" s="131"/>
      <c r="O8" s="131"/>
      <c r="P8" s="115"/>
      <c r="Q8" s="115"/>
      <c r="R8" s="115"/>
      <c r="S8" s="124">
        <f>AB8/L6</f>
        <v>115.26890756302521</v>
      </c>
      <c r="X8" s="134"/>
      <c r="Y8" s="134"/>
      <c r="Z8" s="134"/>
      <c r="AA8" s="134"/>
      <c r="AB8" s="124">
        <f>CCS!$D$52*Emis!$C$11/100</f>
        <v>82.301999999999992</v>
      </c>
    </row>
    <row r="9" spans="2:28">
      <c r="B9" s="64"/>
      <c r="C9" s="115"/>
      <c r="D9" s="115"/>
      <c r="E9" s="115"/>
      <c r="F9" s="115"/>
      <c r="G9" s="115"/>
      <c r="H9" s="244" t="s">
        <v>683</v>
      </c>
      <c r="I9" s="115">
        <v>2030</v>
      </c>
      <c r="J9" s="115"/>
      <c r="K9" s="131"/>
      <c r="L9" s="131">
        <f>X9</f>
        <v>0.71399999999999997</v>
      </c>
      <c r="M9" s="131">
        <f>Y9+CCS!$N$54*7.45/1000</f>
        <v>7.9714999999999998</v>
      </c>
      <c r="N9" s="131">
        <f>IND_CCS_N_CAP!M9*CCS!$C$59/100</f>
        <v>0.19928750000000001</v>
      </c>
      <c r="O9" s="131">
        <f>AA9+CCS!$L$60/3.6*7.45</f>
        <v>18.831944444444446</v>
      </c>
      <c r="P9" s="115"/>
      <c r="Q9" s="115"/>
      <c r="R9" s="115"/>
      <c r="S9" s="124"/>
      <c r="X9" s="134">
        <v>0.71399999999999997</v>
      </c>
      <c r="Y9" s="134">
        <v>0.89400000000000013</v>
      </c>
      <c r="Z9" s="134">
        <v>2.98E-2</v>
      </c>
      <c r="AA9" s="134">
        <v>14.9</v>
      </c>
      <c r="AB9" s="124"/>
    </row>
    <row r="10" spans="2:28" s="134" customFormat="1">
      <c r="B10" s="64"/>
      <c r="C10" s="115"/>
      <c r="D10" s="115"/>
      <c r="E10" s="115" t="s">
        <v>352</v>
      </c>
      <c r="F10" s="115"/>
      <c r="G10" s="115"/>
      <c r="H10" s="244" t="s">
        <v>683</v>
      </c>
      <c r="I10" s="115">
        <v>2030</v>
      </c>
      <c r="J10" s="115"/>
      <c r="K10" s="131">
        <f>CCS!$U$52</f>
        <v>0.20833333333333334</v>
      </c>
      <c r="L10" s="131"/>
      <c r="M10" s="131"/>
      <c r="N10" s="131"/>
      <c r="O10" s="131"/>
      <c r="P10" s="115"/>
      <c r="Q10" s="115"/>
      <c r="R10" s="115"/>
      <c r="S10" s="124"/>
      <c r="AB10" s="124"/>
    </row>
    <row r="11" spans="2:28">
      <c r="B11" s="64"/>
      <c r="C11" s="115"/>
      <c r="D11" s="115"/>
      <c r="E11" s="115"/>
      <c r="F11" s="115"/>
      <c r="G11" s="115"/>
      <c r="H11" s="244" t="s">
        <v>683</v>
      </c>
      <c r="I11" s="115">
        <v>2050</v>
      </c>
      <c r="J11" s="115"/>
      <c r="K11" s="131"/>
      <c r="L11" s="131">
        <f>X11</f>
        <v>0.71399999999999997</v>
      </c>
      <c r="M11" s="131">
        <f>Y11+CCS!$P$54*7.45/1000</f>
        <v>7.9714999999999998</v>
      </c>
      <c r="N11" s="131">
        <f>IND_CCS_N_CAP!M11*CCS!$C$59/100</f>
        <v>0.19928750000000001</v>
      </c>
      <c r="O11" s="131">
        <f>AA11+CCS!$L$60/3.6*7.45</f>
        <v>18.831944444444446</v>
      </c>
      <c r="P11" s="115"/>
      <c r="Q11" s="115"/>
      <c r="R11" s="115"/>
      <c r="S11" s="124"/>
      <c r="X11" s="134">
        <v>0.71399999999999997</v>
      </c>
      <c r="Y11" s="134">
        <v>0.89400000000000013</v>
      </c>
      <c r="Z11" s="134">
        <v>2.98E-2</v>
      </c>
      <c r="AA11" s="134">
        <v>14.9</v>
      </c>
      <c r="AB11" s="124"/>
    </row>
    <row r="12" spans="2:28" s="134" customFormat="1">
      <c r="B12" s="64"/>
      <c r="C12" s="115"/>
      <c r="D12" s="115"/>
      <c r="E12" s="115" t="s">
        <v>352</v>
      </c>
      <c r="F12" s="115"/>
      <c r="G12" s="115"/>
      <c r="H12" s="244" t="s">
        <v>683</v>
      </c>
      <c r="I12" s="115">
        <v>2050</v>
      </c>
      <c r="J12" s="115"/>
      <c r="K12" s="131">
        <f>CCS!$W$52</f>
        <v>0.20833333333333334</v>
      </c>
      <c r="L12" s="131"/>
      <c r="M12" s="131"/>
      <c r="N12" s="131"/>
      <c r="O12" s="131"/>
      <c r="P12" s="115"/>
      <c r="Q12" s="115"/>
      <c r="R12" s="115"/>
      <c r="S12" s="124"/>
      <c r="AB12" s="124"/>
    </row>
    <row r="13" spans="2:28">
      <c r="B13" s="121" t="s">
        <v>226</v>
      </c>
      <c r="C13" s="115" t="s">
        <v>232</v>
      </c>
      <c r="D13" s="115" t="s">
        <v>663</v>
      </c>
      <c r="E13" s="115"/>
      <c r="F13" s="115" t="s">
        <v>248</v>
      </c>
      <c r="G13" s="116"/>
      <c r="H13" s="244" t="s">
        <v>683</v>
      </c>
      <c r="I13" s="115">
        <v>2020</v>
      </c>
      <c r="J13" s="115">
        <v>2030</v>
      </c>
      <c r="L13" s="131">
        <f>X13*0.7</f>
        <v>0.75600000000000001</v>
      </c>
      <c r="M13" s="131">
        <f>Y13+CCS!$M$54*7.45/1000</f>
        <v>14.155000000000001</v>
      </c>
      <c r="N13" s="131">
        <f>IND_CCS_N_CAP!M13*CCS!$C$59/100</f>
        <v>0.35387500000000005</v>
      </c>
      <c r="O13" s="131">
        <f>AA13+CCS!$L$60/3.6*7.45</f>
        <v>9.5194444444444457</v>
      </c>
      <c r="P13" s="97">
        <v>3.1536000000000002E-2</v>
      </c>
      <c r="Q13" s="97">
        <v>0.5</v>
      </c>
      <c r="R13" s="115">
        <v>20</v>
      </c>
      <c r="T13" s="121">
        <v>1</v>
      </c>
      <c r="U13" s="134">
        <v>1</v>
      </c>
      <c r="X13" s="134">
        <v>1.08</v>
      </c>
      <c r="Y13" s="134">
        <v>5.9600000000000009</v>
      </c>
      <c r="Z13" s="134">
        <v>5.5875000000000005E-3</v>
      </c>
      <c r="AA13" s="134">
        <v>5.5875000000000004</v>
      </c>
    </row>
    <row r="14" spans="2:28">
      <c r="B14" s="121"/>
      <c r="C14" s="94"/>
      <c r="D14" s="115"/>
      <c r="E14" s="115" t="s">
        <v>352</v>
      </c>
      <c r="F14" s="115"/>
      <c r="G14" s="116"/>
      <c r="H14" s="244" t="s">
        <v>683</v>
      </c>
      <c r="I14" s="115">
        <v>2020</v>
      </c>
      <c r="J14" s="115"/>
      <c r="K14" s="131">
        <f>CCS!$T$52</f>
        <v>0.2391304347826087</v>
      </c>
      <c r="L14" s="131"/>
      <c r="M14" s="131"/>
      <c r="N14" s="131"/>
      <c r="O14" s="131"/>
      <c r="P14" s="97"/>
      <c r="Q14" s="97"/>
      <c r="R14" s="115"/>
      <c r="S14" s="121"/>
      <c r="T14" s="121"/>
      <c r="X14" s="134"/>
      <c r="Y14" s="134"/>
      <c r="Z14" s="134"/>
      <c r="AA14" s="134"/>
    </row>
    <row r="15" spans="2:28">
      <c r="B15" s="121"/>
      <c r="C15" s="94"/>
      <c r="D15" s="115"/>
      <c r="E15" s="115"/>
      <c r="F15" s="115"/>
      <c r="G15" s="114" t="s">
        <v>883</v>
      </c>
      <c r="H15" s="244" t="s">
        <v>683</v>
      </c>
      <c r="I15" s="115">
        <v>2020</v>
      </c>
      <c r="J15" s="115"/>
      <c r="L15" s="131"/>
      <c r="M15" s="131"/>
      <c r="N15" s="131"/>
      <c r="O15" s="131"/>
      <c r="P15" s="115"/>
      <c r="Q15" s="115"/>
      <c r="R15" s="115"/>
      <c r="S15" s="124">
        <f>AB15/L13</f>
        <v>108.86507936507935</v>
      </c>
      <c r="T15" s="121"/>
      <c r="X15" s="134"/>
      <c r="Y15" s="134"/>
      <c r="Z15" s="134"/>
      <c r="AA15" s="134"/>
      <c r="AB15" s="124">
        <f>CCS!$D$52*Emis!$C$11/100</f>
        <v>82.301999999999992</v>
      </c>
    </row>
    <row r="16" spans="2:28">
      <c r="B16" s="121"/>
      <c r="C16" s="115"/>
      <c r="D16" s="115"/>
      <c r="E16" s="115"/>
      <c r="F16" s="115"/>
      <c r="G16" s="115"/>
      <c r="H16" s="244" t="s">
        <v>683</v>
      </c>
      <c r="I16" s="115">
        <v>2030</v>
      </c>
      <c r="J16" s="115"/>
      <c r="K16" s="131"/>
      <c r="L16" s="131">
        <f>X16*0.7</f>
        <v>0.75600000000000001</v>
      </c>
      <c r="M16" s="131">
        <f>Y16+CCS!$N$54*7.45/1000</f>
        <v>13.037500000000001</v>
      </c>
      <c r="N16" s="131">
        <f>IND_CCS_N_CAP!M16*CCS!$C$59/100</f>
        <v>0.32593749999999999</v>
      </c>
      <c r="O16" s="131">
        <f>AA16+CCS!$L$60/3.6*7.45</f>
        <v>9.5194444444444457</v>
      </c>
      <c r="P16" s="115"/>
      <c r="Q16" s="115"/>
      <c r="R16" s="115"/>
      <c r="S16" s="124"/>
      <c r="T16" s="121"/>
      <c r="X16" s="134">
        <v>1.08</v>
      </c>
      <c r="Y16" s="134">
        <v>5.9600000000000009</v>
      </c>
      <c r="Z16" s="134">
        <v>5.5875000000000005E-3</v>
      </c>
      <c r="AA16" s="134">
        <v>5.5875000000000004</v>
      </c>
      <c r="AB16" s="124"/>
    </row>
    <row r="17" spans="2:28" s="134" customFormat="1">
      <c r="B17" s="64"/>
      <c r="C17" s="115"/>
      <c r="D17" s="115"/>
      <c r="E17" s="115" t="s">
        <v>352</v>
      </c>
      <c r="F17" s="115"/>
      <c r="G17" s="115"/>
      <c r="H17" s="244" t="s">
        <v>683</v>
      </c>
      <c r="I17" s="115">
        <v>2030</v>
      </c>
      <c r="J17" s="115"/>
      <c r="K17" s="131">
        <f>CCS!$U$52</f>
        <v>0.20833333333333334</v>
      </c>
      <c r="L17" s="131"/>
      <c r="M17" s="131"/>
      <c r="N17" s="131"/>
      <c r="O17" s="131"/>
      <c r="P17" s="115"/>
      <c r="Q17" s="115"/>
      <c r="R17" s="115"/>
      <c r="S17" s="124"/>
      <c r="AB17" s="124"/>
    </row>
    <row r="18" spans="2:28">
      <c r="B18" s="121"/>
      <c r="C18" s="115"/>
      <c r="D18" s="115"/>
      <c r="E18" s="115"/>
      <c r="F18" s="115"/>
      <c r="G18" s="115"/>
      <c r="H18" s="244" t="s">
        <v>683</v>
      </c>
      <c r="I18" s="115">
        <v>2050</v>
      </c>
      <c r="J18" s="115"/>
      <c r="K18" s="131"/>
      <c r="L18" s="131">
        <f>X18*0.7</f>
        <v>0.75600000000000001</v>
      </c>
      <c r="M18" s="131">
        <f>Y18+CCS!$P$54*7.45/1000</f>
        <v>13.037500000000001</v>
      </c>
      <c r="N18" s="131">
        <f>IND_CCS_N_CAP!M18*CCS!$C$59/100</f>
        <v>0.32593749999999999</v>
      </c>
      <c r="O18" s="131">
        <f>AA18+CCS!$L$60/3.6*7.45</f>
        <v>9.5194444444444457</v>
      </c>
      <c r="P18" s="115"/>
      <c r="Q18" s="115"/>
      <c r="R18" s="115"/>
      <c r="S18" s="124"/>
      <c r="T18" s="121"/>
      <c r="X18" s="134">
        <v>1.08</v>
      </c>
      <c r="Y18" s="134">
        <v>5.9600000000000009</v>
      </c>
      <c r="Z18" s="134">
        <v>5.5875000000000005E-3</v>
      </c>
      <c r="AA18" s="134">
        <v>5.5875000000000004</v>
      </c>
      <c r="AB18" s="124"/>
    </row>
    <row r="19" spans="2:28" s="134" customFormat="1">
      <c r="B19" s="64"/>
      <c r="C19" s="115"/>
      <c r="D19" s="115"/>
      <c r="E19" s="115" t="s">
        <v>352</v>
      </c>
      <c r="F19" s="115"/>
      <c r="G19" s="115"/>
      <c r="H19" s="244" t="s">
        <v>683</v>
      </c>
      <c r="I19" s="115">
        <v>2050</v>
      </c>
      <c r="J19" s="115"/>
      <c r="K19" s="131">
        <f>CCS!$W$52</f>
        <v>0.20833333333333334</v>
      </c>
      <c r="L19" s="131"/>
      <c r="M19" s="131"/>
      <c r="N19" s="131"/>
      <c r="O19" s="131"/>
      <c r="P19" s="115"/>
      <c r="Q19" s="115"/>
      <c r="R19" s="115"/>
      <c r="S19" s="124"/>
      <c r="AB19" s="124"/>
    </row>
    <row r="20" spans="2:28">
      <c r="B20" s="121" t="s">
        <v>227</v>
      </c>
      <c r="C20" s="115" t="s">
        <v>233</v>
      </c>
      <c r="D20" s="115" t="s">
        <v>664</v>
      </c>
      <c r="E20" s="115"/>
      <c r="F20" s="115" t="s">
        <v>248</v>
      </c>
      <c r="G20" s="116"/>
      <c r="H20" s="244" t="s">
        <v>683</v>
      </c>
      <c r="I20" s="115">
        <v>2020</v>
      </c>
      <c r="J20" s="115">
        <v>2030</v>
      </c>
      <c r="L20" s="131">
        <f>X20</f>
        <v>0.60899999999999999</v>
      </c>
      <c r="M20" s="131">
        <f>Y20+CCS!$M$54*7.45/1000</f>
        <v>9.6850000000000005</v>
      </c>
      <c r="N20" s="131">
        <f>IND_CCS_N_CAP!M20*CCS!$C$59/100</f>
        <v>0.24212500000000003</v>
      </c>
      <c r="O20" s="131">
        <f>AA20+CCS!$L$60/3.6*7.45</f>
        <v>3.9319444444444445</v>
      </c>
      <c r="P20" s="97">
        <v>3.1536000000000002E-2</v>
      </c>
      <c r="Q20" s="97">
        <v>0.5</v>
      </c>
      <c r="R20" s="115">
        <v>20</v>
      </c>
      <c r="S20" s="124"/>
      <c r="T20" s="121">
        <v>1</v>
      </c>
      <c r="U20" s="134">
        <v>1</v>
      </c>
      <c r="X20" s="134">
        <v>0.60899999999999999</v>
      </c>
      <c r="Y20" s="134">
        <v>1.4900000000000002</v>
      </c>
      <c r="Z20" s="134">
        <v>4.6935000000000004E-2</v>
      </c>
      <c r="AA20" s="134">
        <v>0</v>
      </c>
      <c r="AB20" s="124"/>
    </row>
    <row r="21" spans="2:28">
      <c r="B21" s="121"/>
      <c r="C21" s="94"/>
      <c r="D21" s="115"/>
      <c r="E21" s="115" t="s">
        <v>352</v>
      </c>
      <c r="F21" s="115"/>
      <c r="G21" s="116"/>
      <c r="H21" s="244" t="s">
        <v>683</v>
      </c>
      <c r="I21" s="115">
        <v>2020</v>
      </c>
      <c r="J21" s="115"/>
      <c r="K21" s="131">
        <f>CCS!$T$52</f>
        <v>0.2391304347826087</v>
      </c>
      <c r="L21" s="131"/>
      <c r="M21" s="131"/>
      <c r="N21" s="131"/>
      <c r="O21" s="131"/>
      <c r="P21" s="97"/>
      <c r="Q21" s="97"/>
      <c r="R21" s="115"/>
      <c r="S21" s="124"/>
      <c r="T21" s="121"/>
      <c r="X21" s="134"/>
      <c r="Y21" s="134"/>
      <c r="Z21" s="134"/>
      <c r="AA21" s="134"/>
      <c r="AB21" s="124"/>
    </row>
    <row r="22" spans="2:28">
      <c r="B22" s="121"/>
      <c r="C22" s="94"/>
      <c r="D22" s="115"/>
      <c r="E22" s="115"/>
      <c r="F22" s="115"/>
      <c r="G22" s="114" t="s">
        <v>883</v>
      </c>
      <c r="H22" s="244" t="s">
        <v>683</v>
      </c>
      <c r="I22" s="115">
        <v>2020</v>
      </c>
      <c r="J22" s="115"/>
      <c r="L22" s="131"/>
      <c r="M22" s="131"/>
      <c r="N22" s="131"/>
      <c r="O22" s="131"/>
      <c r="P22" s="115"/>
      <c r="Q22" s="115"/>
      <c r="R22" s="115"/>
      <c r="S22" s="124">
        <f>AB22/L20</f>
        <v>135.14285714285714</v>
      </c>
      <c r="T22" s="121"/>
      <c r="X22" s="134"/>
      <c r="Y22" s="134"/>
      <c r="Z22" s="134"/>
      <c r="AA22" s="134"/>
      <c r="AB22" s="124">
        <f>CCS!$D$52*Emis!$C$11/100</f>
        <v>82.301999999999992</v>
      </c>
    </row>
    <row r="23" spans="2:28">
      <c r="B23" s="121"/>
      <c r="C23" s="115"/>
      <c r="D23" s="115"/>
      <c r="E23" s="115"/>
      <c r="F23" s="115"/>
      <c r="G23" s="115"/>
      <c r="H23" s="244" t="s">
        <v>683</v>
      </c>
      <c r="I23" s="115">
        <v>2030</v>
      </c>
      <c r="J23" s="115"/>
      <c r="K23" s="131"/>
      <c r="L23" s="131">
        <f>X23</f>
        <v>0.63700000000000001</v>
      </c>
      <c r="M23" s="131">
        <f>Y23+CCS!$N$54*7.45/1000</f>
        <v>8.567499999999999</v>
      </c>
      <c r="N23" s="131">
        <f>IND_CCS_N_CAP!M23*CCS!$C$59/100</f>
        <v>0.21418749999999995</v>
      </c>
      <c r="O23" s="131">
        <f>AA23+CCS!$L$60/3.6*7.45</f>
        <v>3.9319444444444445</v>
      </c>
      <c r="P23" s="115"/>
      <c r="Q23" s="115"/>
      <c r="R23" s="115"/>
      <c r="S23" s="124"/>
      <c r="T23" s="121"/>
      <c r="X23" s="134">
        <v>0.63700000000000001</v>
      </c>
      <c r="Y23" s="134">
        <v>1.4900000000000002</v>
      </c>
      <c r="Z23" s="134">
        <v>5.2150000000000002E-2</v>
      </c>
      <c r="AA23" s="134">
        <v>0</v>
      </c>
      <c r="AB23" s="124"/>
    </row>
    <row r="24" spans="2:28" s="134" customFormat="1">
      <c r="B24" s="64"/>
      <c r="C24" s="115"/>
      <c r="D24" s="115"/>
      <c r="E24" s="115" t="s">
        <v>352</v>
      </c>
      <c r="F24" s="115"/>
      <c r="G24" s="115"/>
      <c r="H24" s="244" t="s">
        <v>683</v>
      </c>
      <c r="I24" s="115">
        <v>2030</v>
      </c>
      <c r="J24" s="115"/>
      <c r="K24" s="131">
        <f>CCS!$U$52</f>
        <v>0.20833333333333334</v>
      </c>
      <c r="L24" s="131"/>
      <c r="M24" s="131"/>
      <c r="N24" s="131"/>
      <c r="O24" s="131"/>
      <c r="P24" s="115"/>
      <c r="Q24" s="115"/>
      <c r="R24" s="115"/>
      <c r="S24" s="124"/>
      <c r="AB24" s="124"/>
    </row>
    <row r="25" spans="2:28">
      <c r="B25" s="121"/>
      <c r="C25" s="115"/>
      <c r="D25" s="115"/>
      <c r="E25" s="115"/>
      <c r="F25" s="115"/>
      <c r="G25" s="115"/>
      <c r="H25" s="244" t="s">
        <v>683</v>
      </c>
      <c r="I25" s="115">
        <v>2050</v>
      </c>
      <c r="J25" s="115"/>
      <c r="K25" s="131"/>
      <c r="L25" s="131">
        <f>X25</f>
        <v>0.66499999999999992</v>
      </c>
      <c r="M25" s="131">
        <f>Y25+CCS!$P$54*7.45/1000</f>
        <v>8.567499999999999</v>
      </c>
      <c r="N25" s="131">
        <f>IND_CCS_N_CAP!M25*CCS!$C$59/100</f>
        <v>0.21418749999999995</v>
      </c>
      <c r="O25" s="131">
        <f>AA25+CCS!$L$60/3.6*7.45</f>
        <v>3.9319444444444445</v>
      </c>
      <c r="P25" s="115"/>
      <c r="Q25" s="115"/>
      <c r="R25" s="115"/>
      <c r="S25" s="124"/>
      <c r="T25" s="121"/>
      <c r="X25" s="134">
        <v>0.66499999999999992</v>
      </c>
      <c r="Y25" s="134">
        <v>1.4900000000000002</v>
      </c>
      <c r="Z25" s="134">
        <v>5.96E-2</v>
      </c>
      <c r="AA25" s="134">
        <v>0</v>
      </c>
      <c r="AB25" s="124"/>
    </row>
    <row r="26" spans="2:28" s="134" customFormat="1">
      <c r="B26" s="64"/>
      <c r="C26" s="115"/>
      <c r="D26" s="115"/>
      <c r="E26" s="115" t="s">
        <v>352</v>
      </c>
      <c r="F26" s="115"/>
      <c r="G26" s="115"/>
      <c r="H26" s="244" t="s">
        <v>683</v>
      </c>
      <c r="I26" s="115">
        <v>2050</v>
      </c>
      <c r="J26" s="115"/>
      <c r="K26" s="131">
        <f>CCS!$W$52</f>
        <v>0.20833333333333334</v>
      </c>
      <c r="L26" s="131"/>
      <c r="M26" s="131"/>
      <c r="N26" s="131"/>
      <c r="O26" s="131"/>
      <c r="P26" s="115"/>
      <c r="Q26" s="115"/>
      <c r="R26" s="115"/>
      <c r="S26" s="124"/>
      <c r="AB26" s="124"/>
    </row>
    <row r="27" spans="2:28" s="134" customFormat="1">
      <c r="B27" s="134" t="s">
        <v>239</v>
      </c>
      <c r="C27" s="115" t="s">
        <v>244</v>
      </c>
      <c r="D27" s="115" t="s">
        <v>662</v>
      </c>
      <c r="E27" s="115"/>
      <c r="F27" s="115" t="s">
        <v>249</v>
      </c>
      <c r="G27" s="116"/>
      <c r="H27" s="244" t="s">
        <v>683</v>
      </c>
      <c r="I27" s="115">
        <v>2020</v>
      </c>
      <c r="J27" s="115">
        <v>2030</v>
      </c>
      <c r="L27" s="131">
        <f>X27</f>
        <v>0.60899999999999999</v>
      </c>
      <c r="M27" s="131">
        <f>Y27+CCS!$M$54*7.45/1000</f>
        <v>11.92</v>
      </c>
      <c r="N27" s="131">
        <f>IND_CCS_N_CAP!M27*CCS!$C$59/100</f>
        <v>0.29799999999999999</v>
      </c>
      <c r="O27" s="131">
        <f>AA27+CCS!$L$60/3.6*7.45</f>
        <v>7.8700972222222223</v>
      </c>
      <c r="P27" s="97">
        <v>3.1536000000000002E-2</v>
      </c>
      <c r="Q27" s="97">
        <v>0.95</v>
      </c>
      <c r="R27" s="115">
        <v>20</v>
      </c>
      <c r="T27" s="134">
        <v>1</v>
      </c>
      <c r="U27" s="134">
        <v>0.6</v>
      </c>
      <c r="X27" s="171">
        <v>0.60899999999999999</v>
      </c>
      <c r="Y27" s="171">
        <v>3.7250000000000001</v>
      </c>
      <c r="Z27" s="171">
        <v>0.25106499999999998</v>
      </c>
      <c r="AA27" s="359">
        <v>3.9381527777777778</v>
      </c>
      <c r="AB27" s="358"/>
    </row>
    <row r="28" spans="2:28" s="134" customFormat="1">
      <c r="C28" s="94"/>
      <c r="D28" s="115"/>
      <c r="E28" s="115" t="s">
        <v>352</v>
      </c>
      <c r="F28" s="115"/>
      <c r="G28" s="116"/>
      <c r="H28" s="244" t="s">
        <v>683</v>
      </c>
      <c r="I28" s="115">
        <v>2020</v>
      </c>
      <c r="J28" s="115"/>
      <c r="K28" s="131">
        <f>CCS!$T$52</f>
        <v>0.2391304347826087</v>
      </c>
      <c r="L28" s="131"/>
      <c r="M28" s="131"/>
      <c r="N28" s="131"/>
      <c r="O28" s="131"/>
      <c r="P28" s="97"/>
      <c r="Q28" s="97"/>
      <c r="R28" s="115"/>
      <c r="X28" s="171"/>
      <c r="Y28" s="171"/>
      <c r="Z28" s="171"/>
      <c r="AA28" s="171"/>
      <c r="AB28" s="358"/>
    </row>
    <row r="29" spans="2:28" s="134" customFormat="1">
      <c r="C29" s="94"/>
      <c r="D29" s="115"/>
      <c r="E29" s="115"/>
      <c r="F29" s="115"/>
      <c r="G29" s="114" t="s">
        <v>777</v>
      </c>
      <c r="H29" s="244" t="s">
        <v>683</v>
      </c>
      <c r="I29" s="115">
        <v>2020</v>
      </c>
      <c r="J29" s="115"/>
      <c r="L29" s="131"/>
      <c r="M29" s="131"/>
      <c r="N29" s="131"/>
      <c r="O29" s="131"/>
      <c r="P29" s="115"/>
      <c r="Q29" s="115"/>
      <c r="R29" s="115"/>
      <c r="S29" s="124">
        <f>AB29/L27</f>
        <v>135.14285714285714</v>
      </c>
      <c r="X29" s="171"/>
      <c r="Y29" s="171"/>
      <c r="Z29" s="171"/>
      <c r="AA29" s="171"/>
      <c r="AB29" s="358">
        <f>CCS!$D$52*Emis!$C$11/100</f>
        <v>82.301999999999992</v>
      </c>
    </row>
    <row r="30" spans="2:28" s="134" customFormat="1">
      <c r="C30" s="115"/>
      <c r="D30" s="115"/>
      <c r="E30" s="115"/>
      <c r="F30" s="115"/>
      <c r="G30" s="115"/>
      <c r="H30" s="244" t="s">
        <v>683</v>
      </c>
      <c r="I30" s="115">
        <v>2030</v>
      </c>
      <c r="J30" s="115"/>
      <c r="K30" s="131"/>
      <c r="L30" s="131">
        <f>X30</f>
        <v>0.63700000000000001</v>
      </c>
      <c r="M30" s="131">
        <f>Y30+CCS!$N$54*7.45/1000</f>
        <v>10.8025</v>
      </c>
      <c r="N30" s="131">
        <f>IND_CCS_N_CAP!M30*CCS!$C$59/100</f>
        <v>0.27006250000000004</v>
      </c>
      <c r="O30" s="131">
        <f>AA30+CCS!$L$60/3.6*7.45</f>
        <v>7.8700972222222223</v>
      </c>
      <c r="P30" s="115"/>
      <c r="Q30" s="115"/>
      <c r="R30" s="115"/>
      <c r="S30" s="124"/>
      <c r="X30" s="171">
        <v>0.63700000000000001</v>
      </c>
      <c r="Y30" s="171">
        <f>Y27</f>
        <v>3.7250000000000001</v>
      </c>
      <c r="Z30" s="171">
        <f>Z27</f>
        <v>0.25106499999999998</v>
      </c>
      <c r="AA30" s="171">
        <f>AA27</f>
        <v>3.9381527777777778</v>
      </c>
      <c r="AB30" s="358"/>
    </row>
    <row r="31" spans="2:28" s="134" customFormat="1">
      <c r="C31" s="115"/>
      <c r="D31" s="115"/>
      <c r="E31" s="115" t="s">
        <v>352</v>
      </c>
      <c r="F31" s="115"/>
      <c r="G31" s="115"/>
      <c r="H31" s="244" t="s">
        <v>683</v>
      </c>
      <c r="I31" s="115">
        <v>2030</v>
      </c>
      <c r="J31" s="115"/>
      <c r="K31" s="131">
        <f>CCS!$U$52</f>
        <v>0.20833333333333334</v>
      </c>
      <c r="L31" s="131"/>
      <c r="M31" s="131"/>
      <c r="N31" s="131"/>
      <c r="O31" s="131"/>
      <c r="P31" s="115"/>
      <c r="Q31" s="115"/>
      <c r="R31" s="115"/>
      <c r="S31" s="124"/>
      <c r="X31" s="171"/>
      <c r="Y31" s="171"/>
      <c r="Z31" s="171"/>
      <c r="AA31" s="171"/>
      <c r="AB31" s="358"/>
    </row>
    <row r="32" spans="2:28" s="134" customFormat="1">
      <c r="D32" s="115"/>
      <c r="E32" s="115"/>
      <c r="F32" s="115"/>
      <c r="G32" s="115"/>
      <c r="H32" s="244" t="s">
        <v>683</v>
      </c>
      <c r="I32" s="115">
        <v>2050</v>
      </c>
      <c r="J32" s="115"/>
      <c r="K32" s="131"/>
      <c r="L32" s="131">
        <f>X32</f>
        <v>0.66499999999999992</v>
      </c>
      <c r="M32" s="131">
        <f>Y32+CCS!$P$54*7.45/1000</f>
        <v>10.8025</v>
      </c>
      <c r="N32" s="131">
        <f>IND_CCS_N_CAP!M32*CCS!$C$59/100</f>
        <v>0.27006250000000004</v>
      </c>
      <c r="O32" s="131">
        <f>AA32+CCS!$L$60/3.6*7.45</f>
        <v>7.8700972222222223</v>
      </c>
      <c r="P32" s="115"/>
      <c r="Q32" s="115"/>
      <c r="R32" s="115"/>
      <c r="S32" s="124"/>
      <c r="X32" s="171">
        <v>0.66499999999999992</v>
      </c>
      <c r="Y32" s="171">
        <f>Y30</f>
        <v>3.7250000000000001</v>
      </c>
      <c r="Z32" s="171">
        <f>Z30</f>
        <v>0.25106499999999998</v>
      </c>
      <c r="AA32" s="171">
        <f>AA30</f>
        <v>3.9381527777777778</v>
      </c>
      <c r="AB32" s="358"/>
    </row>
    <row r="33" spans="2:28" s="134" customFormat="1">
      <c r="C33" s="94"/>
      <c r="D33" s="115"/>
      <c r="E33" s="115" t="s">
        <v>352</v>
      </c>
      <c r="F33" s="115"/>
      <c r="G33" s="115"/>
      <c r="H33" s="244" t="s">
        <v>683</v>
      </c>
      <c r="I33" s="115">
        <v>2050</v>
      </c>
      <c r="J33" s="115"/>
      <c r="K33" s="131">
        <f>CCS!$W$52</f>
        <v>0.20833333333333334</v>
      </c>
      <c r="L33" s="131"/>
      <c r="M33" s="131"/>
      <c r="N33" s="131"/>
      <c r="O33" s="131"/>
      <c r="P33" s="115"/>
      <c r="Q33" s="115"/>
      <c r="R33" s="115"/>
      <c r="S33" s="124"/>
      <c r="X33" s="171"/>
      <c r="Y33" s="171"/>
      <c r="Z33" s="171"/>
      <c r="AA33" s="171"/>
      <c r="AB33" s="358"/>
    </row>
    <row r="34" spans="2:28" s="134" customFormat="1">
      <c r="B34" s="134" t="s">
        <v>240</v>
      </c>
      <c r="C34" s="115" t="s">
        <v>245</v>
      </c>
      <c r="D34" s="115" t="s">
        <v>665</v>
      </c>
      <c r="E34" s="115"/>
      <c r="F34" s="115" t="s">
        <v>249</v>
      </c>
      <c r="G34" s="116"/>
      <c r="H34" s="244" t="s">
        <v>683</v>
      </c>
      <c r="I34" s="115">
        <v>2020</v>
      </c>
      <c r="J34" s="115">
        <v>2030</v>
      </c>
      <c r="L34" s="131">
        <f>X34</f>
        <v>0.71399999999999997</v>
      </c>
      <c r="M34" s="131">
        <f>Y34+CCS!$M$54*7.45/1000</f>
        <v>8.306750000000001</v>
      </c>
      <c r="N34" s="131">
        <f>IND_CCS_N_CAP!M34*CCS!$C$59/100</f>
        <v>0.20766875000000001</v>
      </c>
      <c r="O34" s="131">
        <f>AA34+CCS!$L$60/3.6*7.45</f>
        <v>4.5165625</v>
      </c>
      <c r="P34" s="97">
        <v>3.1536000000000002E-2</v>
      </c>
      <c r="Q34" s="97">
        <v>0.95</v>
      </c>
      <c r="R34" s="115">
        <v>25</v>
      </c>
      <c r="S34" s="124"/>
      <c r="T34" s="134">
        <v>1</v>
      </c>
      <c r="U34" s="134">
        <v>0.6</v>
      </c>
      <c r="X34" s="171">
        <v>0.71399999999999997</v>
      </c>
      <c r="Y34" s="171">
        <v>0.11175</v>
      </c>
      <c r="Z34" s="171">
        <v>1.3545454545454561E-3</v>
      </c>
      <c r="AA34" s="171">
        <v>0.58461805555555546</v>
      </c>
      <c r="AB34" s="358"/>
    </row>
    <row r="35" spans="2:28" s="134" customFormat="1">
      <c r="C35" s="115"/>
      <c r="E35" s="115" t="s">
        <v>352</v>
      </c>
      <c r="F35" s="115"/>
      <c r="G35" s="116"/>
      <c r="H35" s="244" t="s">
        <v>683</v>
      </c>
      <c r="I35" s="115">
        <v>2020</v>
      </c>
      <c r="J35" s="115"/>
      <c r="K35" s="131">
        <f>CCS!$T$52</f>
        <v>0.2391304347826087</v>
      </c>
      <c r="L35" s="131"/>
      <c r="M35" s="131"/>
      <c r="N35" s="131"/>
      <c r="O35" s="131"/>
      <c r="P35" s="97"/>
      <c r="Q35" s="97"/>
      <c r="R35" s="115"/>
      <c r="S35" s="124"/>
      <c r="X35" s="171"/>
      <c r="Y35" s="171"/>
      <c r="Z35" s="171"/>
      <c r="AA35" s="171"/>
      <c r="AB35" s="358"/>
    </row>
    <row r="36" spans="2:28" s="134" customFormat="1">
      <c r="C36" s="115"/>
      <c r="D36" s="115"/>
      <c r="E36" s="115"/>
      <c r="F36" s="115"/>
      <c r="G36" s="114" t="s">
        <v>777</v>
      </c>
      <c r="H36" s="244" t="s">
        <v>683</v>
      </c>
      <c r="I36" s="115">
        <v>2020</v>
      </c>
      <c r="J36" s="115"/>
      <c r="L36" s="131"/>
      <c r="M36" s="131"/>
      <c r="N36" s="131"/>
      <c r="O36" s="131"/>
      <c r="P36" s="115"/>
      <c r="Q36" s="115"/>
      <c r="R36" s="115"/>
      <c r="S36" s="124">
        <f>AB36/L34</f>
        <v>69.392857142857153</v>
      </c>
      <c r="X36" s="171"/>
      <c r="Y36" s="171"/>
      <c r="Z36" s="171"/>
      <c r="AA36" s="171"/>
      <c r="AB36" s="358">
        <f>CCS!$D$52*Emis!$F$11/100</f>
        <v>49.546500000000009</v>
      </c>
    </row>
    <row r="37" spans="2:28" s="134" customFormat="1">
      <c r="D37" s="115"/>
      <c r="E37" s="115"/>
      <c r="F37" s="115"/>
      <c r="G37" s="115"/>
      <c r="H37" s="244" t="s">
        <v>683</v>
      </c>
      <c r="I37" s="115">
        <v>2030</v>
      </c>
      <c r="J37" s="115"/>
      <c r="K37" s="131"/>
      <c r="L37" s="131">
        <f>X37</f>
        <v>0.71399999999999997</v>
      </c>
      <c r="M37" s="131">
        <f>Y37+CCS!$N$54*7.45/1000</f>
        <v>7.1892499999999995</v>
      </c>
      <c r="N37" s="131">
        <f>IND_CCS_N_CAP!M37*CCS!$C$59/100</f>
        <v>0.17973125000000001</v>
      </c>
      <c r="O37" s="131">
        <f>AA37+CCS!$L$60/3.6*7.45</f>
        <v>4.5165625</v>
      </c>
      <c r="P37" s="115"/>
      <c r="Q37" s="115"/>
      <c r="R37" s="115"/>
      <c r="S37" s="124"/>
      <c r="X37" s="171">
        <v>0.71399999999999997</v>
      </c>
      <c r="Y37" s="171">
        <f>Y34</f>
        <v>0.11175</v>
      </c>
      <c r="Z37" s="171">
        <f>Z34</f>
        <v>1.3545454545454561E-3</v>
      </c>
      <c r="AA37" s="171">
        <f>AA34</f>
        <v>0.58461805555555546</v>
      </c>
      <c r="AB37" s="358"/>
    </row>
    <row r="38" spans="2:28" s="134" customFormat="1">
      <c r="B38" s="64"/>
      <c r="C38" s="115"/>
      <c r="D38" s="115"/>
      <c r="E38" s="115" t="s">
        <v>352</v>
      </c>
      <c r="F38" s="115"/>
      <c r="G38" s="115"/>
      <c r="H38" s="244" t="s">
        <v>683</v>
      </c>
      <c r="I38" s="115">
        <v>2030</v>
      </c>
      <c r="J38" s="115"/>
      <c r="K38" s="131">
        <f>CCS!$U$52</f>
        <v>0.20833333333333334</v>
      </c>
      <c r="L38" s="131"/>
      <c r="M38" s="131"/>
      <c r="N38" s="131"/>
      <c r="O38" s="131"/>
      <c r="P38" s="115"/>
      <c r="Q38" s="115"/>
      <c r="R38" s="115"/>
      <c r="S38" s="124"/>
      <c r="X38" s="171"/>
      <c r="Y38" s="171"/>
      <c r="Z38" s="171"/>
      <c r="AA38" s="171"/>
      <c r="AB38" s="358"/>
    </row>
    <row r="39" spans="2:28" s="134" customFormat="1">
      <c r="C39" s="115"/>
      <c r="D39" s="115"/>
      <c r="E39" s="115"/>
      <c r="F39" s="115"/>
      <c r="G39" s="115"/>
      <c r="H39" s="244" t="s">
        <v>683</v>
      </c>
      <c r="I39" s="115">
        <v>2050</v>
      </c>
      <c r="J39" s="115"/>
      <c r="K39" s="131"/>
      <c r="L39" s="131">
        <f>X39</f>
        <v>0.71399999999999997</v>
      </c>
      <c r="M39" s="131">
        <f>Y39+CCS!$P$54*7.45/1000</f>
        <v>7.1892499999999995</v>
      </c>
      <c r="N39" s="131">
        <f>IND_CCS_N_CAP!M39*CCS!$C$59/100</f>
        <v>0.17973125000000001</v>
      </c>
      <c r="O39" s="131">
        <f>AA39+CCS!$L$60/3.6*7.45</f>
        <v>4.5165625</v>
      </c>
      <c r="P39" s="115"/>
      <c r="Q39" s="115"/>
      <c r="R39" s="115"/>
      <c r="S39" s="124"/>
      <c r="X39" s="171">
        <v>0.71399999999999997</v>
      </c>
      <c r="Y39" s="171">
        <f>Y37</f>
        <v>0.11175</v>
      </c>
      <c r="Z39" s="171">
        <f>Z37</f>
        <v>1.3545454545454561E-3</v>
      </c>
      <c r="AA39" s="171">
        <f>AA37</f>
        <v>0.58461805555555546</v>
      </c>
      <c r="AB39" s="358"/>
    </row>
    <row r="40" spans="2:28" s="134" customFormat="1">
      <c r="B40" s="64"/>
      <c r="C40" s="115"/>
      <c r="D40" s="115"/>
      <c r="E40" s="115" t="s">
        <v>352</v>
      </c>
      <c r="F40" s="115"/>
      <c r="G40" s="115"/>
      <c r="H40" s="244" t="s">
        <v>683</v>
      </c>
      <c r="I40" s="115">
        <v>2050</v>
      </c>
      <c r="J40" s="115"/>
      <c r="K40" s="131">
        <f>CCS!$W$52</f>
        <v>0.20833333333333334</v>
      </c>
      <c r="L40" s="131"/>
      <c r="M40" s="131"/>
      <c r="N40" s="131"/>
      <c r="O40" s="131"/>
      <c r="P40" s="115"/>
      <c r="Q40" s="115"/>
      <c r="R40" s="115"/>
      <c r="S40" s="124"/>
      <c r="X40" s="171"/>
      <c r="Y40" s="171"/>
      <c r="Z40" s="171"/>
      <c r="AA40" s="171"/>
      <c r="AB40" s="358"/>
    </row>
    <row r="41" spans="2:28" s="134" customFormat="1">
      <c r="B41" s="134" t="s">
        <v>229</v>
      </c>
      <c r="C41" s="115" t="s">
        <v>235</v>
      </c>
      <c r="D41" s="115" t="s">
        <v>663</v>
      </c>
      <c r="E41" s="115"/>
      <c r="F41" s="115" t="s">
        <v>249</v>
      </c>
      <c r="G41" s="116"/>
      <c r="H41" s="244" t="s">
        <v>683</v>
      </c>
      <c r="I41" s="115">
        <v>2020</v>
      </c>
      <c r="J41" s="115">
        <v>2030</v>
      </c>
      <c r="L41" s="131">
        <f>X41*0.7</f>
        <v>0.75600000000000001</v>
      </c>
      <c r="M41" s="131">
        <f>Y41+CCS!$M$54*7.45/1000</f>
        <v>12.800454545454546</v>
      </c>
      <c r="N41" s="131">
        <f>IND_CCS_N_CAP!M41*CCS!$C$59/100</f>
        <v>0.32001136363636362</v>
      </c>
      <c r="O41" s="131">
        <f>AA41+CCS!$L$60/3.6*7.45</f>
        <v>9.6829305555555543</v>
      </c>
      <c r="P41" s="97">
        <v>3.1536000000000002E-2</v>
      </c>
      <c r="Q41" s="97">
        <v>0.95</v>
      </c>
      <c r="R41" s="115">
        <v>20</v>
      </c>
      <c r="T41" s="134">
        <v>1</v>
      </c>
      <c r="U41" s="134">
        <v>0.6</v>
      </c>
      <c r="X41" s="171">
        <v>1.08</v>
      </c>
      <c r="Y41" s="171">
        <v>4.6054545454545455</v>
      </c>
      <c r="Z41" s="171">
        <v>0.25106499999999998</v>
      </c>
      <c r="AA41" s="171">
        <v>5.7509861111111107</v>
      </c>
      <c r="AB41" s="358"/>
    </row>
    <row r="42" spans="2:28" s="134" customFormat="1">
      <c r="C42" s="94"/>
      <c r="D42" s="115"/>
      <c r="E42" s="115" t="s">
        <v>352</v>
      </c>
      <c r="F42" s="115"/>
      <c r="G42" s="116"/>
      <c r="H42" s="244" t="s">
        <v>683</v>
      </c>
      <c r="I42" s="115">
        <v>2020</v>
      </c>
      <c r="J42" s="115"/>
      <c r="K42" s="131">
        <f>CCS!$T$52</f>
        <v>0.2391304347826087</v>
      </c>
      <c r="L42" s="131"/>
      <c r="M42" s="131"/>
      <c r="N42" s="131"/>
      <c r="O42" s="131"/>
      <c r="P42" s="97"/>
      <c r="Q42" s="97"/>
      <c r="R42" s="115"/>
      <c r="X42" s="171"/>
      <c r="Y42" s="171"/>
      <c r="Z42" s="171"/>
      <c r="AA42" s="171"/>
      <c r="AB42" s="358"/>
    </row>
    <row r="43" spans="2:28" s="134" customFormat="1">
      <c r="C43" s="94"/>
      <c r="D43" s="115"/>
      <c r="E43" s="115"/>
      <c r="F43" s="115"/>
      <c r="G43" s="114" t="s">
        <v>883</v>
      </c>
      <c r="H43" s="244" t="s">
        <v>683</v>
      </c>
      <c r="I43" s="115">
        <v>2020</v>
      </c>
      <c r="J43" s="115"/>
      <c r="L43" s="131"/>
      <c r="M43" s="131"/>
      <c r="N43" s="131"/>
      <c r="O43" s="131"/>
      <c r="P43" s="115"/>
      <c r="Q43" s="115"/>
      <c r="R43" s="115"/>
      <c r="S43" s="124">
        <f>AB43/L41</f>
        <v>108.86507936507935</v>
      </c>
      <c r="X43" s="171"/>
      <c r="Y43" s="171"/>
      <c r="Z43" s="171"/>
      <c r="AA43" s="171"/>
      <c r="AB43" s="358">
        <f>CCS!$D$52*Emis!$C$11/100</f>
        <v>82.301999999999992</v>
      </c>
    </row>
    <row r="44" spans="2:28" s="134" customFormat="1">
      <c r="D44" s="115"/>
      <c r="E44" s="115"/>
      <c r="F44" s="115"/>
      <c r="G44" s="115"/>
      <c r="H44" s="244" t="s">
        <v>683</v>
      </c>
      <c r="I44" s="115">
        <v>2030</v>
      </c>
      <c r="J44" s="115"/>
      <c r="K44" s="131"/>
      <c r="L44" s="131">
        <f>X44*0.7</f>
        <v>0.75600000000000001</v>
      </c>
      <c r="M44" s="131">
        <f>Y44+CCS!$N$54*7.45/1000</f>
        <v>11.682954545454546</v>
      </c>
      <c r="N44" s="131">
        <f>IND_CCS_N_CAP!M44*CCS!$C$59/100</f>
        <v>0.29207386363636367</v>
      </c>
      <c r="O44" s="131">
        <f>AA44+CCS!$L$60/3.6*7.45</f>
        <v>9.6829305555555543</v>
      </c>
      <c r="P44" s="115"/>
      <c r="Q44" s="115"/>
      <c r="R44" s="115"/>
      <c r="S44" s="124"/>
      <c r="X44" s="171">
        <v>1.08</v>
      </c>
      <c r="Y44" s="171">
        <f>Y41</f>
        <v>4.6054545454545455</v>
      </c>
      <c r="Z44" s="171">
        <f t="shared" ref="Z44:AA44" si="0">Z41</f>
        <v>0.25106499999999998</v>
      </c>
      <c r="AA44" s="171">
        <f t="shared" si="0"/>
        <v>5.7509861111111107</v>
      </c>
      <c r="AB44" s="358"/>
    </row>
    <row r="45" spans="2:28" s="134" customFormat="1">
      <c r="B45" s="64"/>
      <c r="C45" s="115"/>
      <c r="D45" s="115"/>
      <c r="E45" s="115" t="s">
        <v>352</v>
      </c>
      <c r="F45" s="115"/>
      <c r="G45" s="115"/>
      <c r="H45" s="244" t="s">
        <v>683</v>
      </c>
      <c r="I45" s="115">
        <v>2030</v>
      </c>
      <c r="J45" s="115"/>
      <c r="K45" s="131">
        <f>CCS!$U$52</f>
        <v>0.20833333333333334</v>
      </c>
      <c r="L45" s="131"/>
      <c r="M45" s="131"/>
      <c r="N45" s="131"/>
      <c r="O45" s="131"/>
      <c r="P45" s="115"/>
      <c r="Q45" s="115"/>
      <c r="R45" s="115"/>
      <c r="S45" s="124"/>
      <c r="X45" s="171"/>
      <c r="Y45" s="171"/>
      <c r="Z45" s="171"/>
      <c r="AA45" s="171"/>
      <c r="AB45" s="358"/>
    </row>
    <row r="46" spans="2:28" s="134" customFormat="1">
      <c r="C46" s="115"/>
      <c r="D46" s="115"/>
      <c r="E46" s="115"/>
      <c r="F46" s="115"/>
      <c r="G46" s="115"/>
      <c r="H46" s="244" t="s">
        <v>683</v>
      </c>
      <c r="I46" s="115">
        <v>2050</v>
      </c>
      <c r="J46" s="115"/>
      <c r="K46" s="131"/>
      <c r="L46" s="131">
        <f>X46*0.7</f>
        <v>0.75600000000000001</v>
      </c>
      <c r="M46" s="131">
        <f>Y46+CCS!$P$54*7.45/1000</f>
        <v>11.682954545454546</v>
      </c>
      <c r="N46" s="131">
        <f>IND_CCS_N_CAP!M46*CCS!$C$59/100</f>
        <v>0.29207386363636367</v>
      </c>
      <c r="O46" s="131">
        <f>AA46+CCS!$L$60/3.6*7.45</f>
        <v>9.6829305555555543</v>
      </c>
      <c r="P46" s="115"/>
      <c r="Q46" s="115"/>
      <c r="R46" s="115"/>
      <c r="S46" s="124"/>
      <c r="X46" s="171">
        <v>1.08</v>
      </c>
      <c r="Y46" s="171">
        <f>Y44</f>
        <v>4.6054545454545455</v>
      </c>
      <c r="Z46" s="171">
        <f t="shared" ref="Z46:AA46" si="1">Z44</f>
        <v>0.25106499999999998</v>
      </c>
      <c r="AA46" s="171">
        <f t="shared" si="1"/>
        <v>5.7509861111111107</v>
      </c>
      <c r="AB46" s="358"/>
    </row>
    <row r="47" spans="2:28" s="134" customFormat="1">
      <c r="B47" s="64"/>
      <c r="C47" s="115"/>
      <c r="D47" s="115"/>
      <c r="E47" s="115" t="s">
        <v>352</v>
      </c>
      <c r="F47" s="115"/>
      <c r="G47" s="115"/>
      <c r="H47" s="244" t="s">
        <v>683</v>
      </c>
      <c r="I47" s="115">
        <v>2050</v>
      </c>
      <c r="J47" s="115"/>
      <c r="K47" s="131">
        <f>CCS!$W$52</f>
        <v>0.20833333333333334</v>
      </c>
      <c r="L47" s="131"/>
      <c r="M47" s="131"/>
      <c r="N47" s="131"/>
      <c r="O47" s="131"/>
      <c r="P47" s="115"/>
      <c r="Q47" s="115"/>
      <c r="R47" s="115"/>
      <c r="S47" s="124"/>
      <c r="X47" s="171"/>
      <c r="Y47" s="171"/>
      <c r="Z47" s="171"/>
      <c r="AA47" s="171"/>
      <c r="AB47" s="358"/>
    </row>
    <row r="48" spans="2:28" s="134" customFormat="1">
      <c r="B48" s="134" t="s">
        <v>228</v>
      </c>
      <c r="C48" s="115" t="s">
        <v>234</v>
      </c>
      <c r="D48" s="115" t="s">
        <v>664</v>
      </c>
      <c r="E48" s="115"/>
      <c r="F48" s="115" t="s">
        <v>249</v>
      </c>
      <c r="G48" s="116"/>
      <c r="H48" s="244" t="s">
        <v>683</v>
      </c>
      <c r="I48" s="115">
        <v>2020</v>
      </c>
      <c r="J48" s="115">
        <v>2030</v>
      </c>
      <c r="L48" s="131">
        <f>X48</f>
        <v>0.60899999999999999</v>
      </c>
      <c r="M48" s="131">
        <f>Y48+CCS!$M$54*7.45/1000</f>
        <v>11.92</v>
      </c>
      <c r="N48" s="131">
        <f>IND_CCS_N_CAP!M48*CCS!$C$59/100</f>
        <v>0.29799999999999999</v>
      </c>
      <c r="O48" s="131">
        <f>AA48+CCS!$L$60/3.6*7.45</f>
        <v>7.8700972222222223</v>
      </c>
      <c r="P48" s="97">
        <v>3.1536000000000002E-2</v>
      </c>
      <c r="Q48" s="97">
        <v>0.95</v>
      </c>
      <c r="R48" s="115">
        <v>20</v>
      </c>
      <c r="S48" s="124"/>
      <c r="T48" s="134">
        <v>1</v>
      </c>
      <c r="U48" s="134">
        <v>0.6</v>
      </c>
      <c r="X48" s="171">
        <v>0.60899999999999999</v>
      </c>
      <c r="Y48" s="171">
        <f>Y27</f>
        <v>3.7250000000000001</v>
      </c>
      <c r="Z48" s="171">
        <f t="shared" ref="Z48:AA48" si="2">Z27</f>
        <v>0.25106499999999998</v>
      </c>
      <c r="AA48" s="171">
        <f t="shared" si="2"/>
        <v>3.9381527777777778</v>
      </c>
      <c r="AB48" s="358"/>
    </row>
    <row r="49" spans="2:28" s="134" customFormat="1">
      <c r="C49" s="94"/>
      <c r="D49" s="115"/>
      <c r="E49" s="115" t="s">
        <v>352</v>
      </c>
      <c r="F49" s="115"/>
      <c r="G49" s="116"/>
      <c r="H49" s="244" t="s">
        <v>683</v>
      </c>
      <c r="I49" s="115">
        <v>2020</v>
      </c>
      <c r="J49" s="115"/>
      <c r="K49" s="131">
        <f>CCS!$T$52</f>
        <v>0.2391304347826087</v>
      </c>
      <c r="L49" s="131"/>
      <c r="M49" s="131"/>
      <c r="N49" s="131"/>
      <c r="O49" s="131"/>
      <c r="P49" s="97"/>
      <c r="Q49" s="97"/>
      <c r="R49" s="115"/>
      <c r="S49" s="124"/>
      <c r="X49" s="171"/>
      <c r="Y49" s="171"/>
      <c r="Z49" s="171"/>
      <c r="AA49" s="171"/>
      <c r="AB49" s="358"/>
    </row>
    <row r="50" spans="2:28" s="134" customFormat="1">
      <c r="C50" s="94"/>
      <c r="D50" s="115"/>
      <c r="E50" s="115"/>
      <c r="F50" s="115"/>
      <c r="G50" s="114" t="s">
        <v>883</v>
      </c>
      <c r="H50" s="244" t="s">
        <v>683</v>
      </c>
      <c r="I50" s="115">
        <v>2020</v>
      </c>
      <c r="J50" s="115"/>
      <c r="L50" s="131"/>
      <c r="M50" s="131"/>
      <c r="N50" s="131"/>
      <c r="O50" s="131"/>
      <c r="P50" s="115"/>
      <c r="Q50" s="115"/>
      <c r="R50" s="115"/>
      <c r="S50" s="124">
        <f>AB50/L48</f>
        <v>135.14285714285714</v>
      </c>
      <c r="X50" s="171"/>
      <c r="Y50" s="171"/>
      <c r="Z50" s="171"/>
      <c r="AA50" s="171"/>
      <c r="AB50" s="358">
        <f>CCS!$D$52*Emis!$C$11/100</f>
        <v>82.301999999999992</v>
      </c>
    </row>
    <row r="51" spans="2:28" s="134" customFormat="1">
      <c r="D51" s="115"/>
      <c r="E51" s="115"/>
      <c r="F51" s="115"/>
      <c r="G51" s="115"/>
      <c r="H51" s="244" t="s">
        <v>683</v>
      </c>
      <c r="I51" s="115">
        <v>2030</v>
      </c>
      <c r="J51" s="115"/>
      <c r="K51" s="131"/>
      <c r="L51" s="131">
        <f>X51</f>
        <v>0.63700000000000001</v>
      </c>
      <c r="M51" s="131">
        <f>Y51+CCS!$N$54*7.45/1000</f>
        <v>10.8025</v>
      </c>
      <c r="N51" s="131">
        <f>IND_CCS_N_CAP!M51*CCS!$C$59/100</f>
        <v>0.27006250000000004</v>
      </c>
      <c r="O51" s="131">
        <f>AA51+CCS!$L$60/3.6*7.45</f>
        <v>7.8700972222222223</v>
      </c>
      <c r="P51" s="115"/>
      <c r="Q51" s="115"/>
      <c r="R51" s="115"/>
      <c r="S51" s="124"/>
      <c r="X51" s="171">
        <v>0.63700000000000001</v>
      </c>
      <c r="Y51" s="171">
        <f>Y30</f>
        <v>3.7250000000000001</v>
      </c>
      <c r="Z51" s="171">
        <f t="shared" ref="Z51:AA51" si="3">Z30</f>
        <v>0.25106499999999998</v>
      </c>
      <c r="AA51" s="171">
        <f t="shared" si="3"/>
        <v>3.9381527777777778</v>
      </c>
      <c r="AB51" s="358"/>
    </row>
    <row r="52" spans="2:28" s="134" customFormat="1">
      <c r="B52" s="64"/>
      <c r="C52" s="115"/>
      <c r="D52" s="115"/>
      <c r="E52" s="115" t="s">
        <v>352</v>
      </c>
      <c r="F52" s="115"/>
      <c r="G52" s="115"/>
      <c r="H52" s="244" t="s">
        <v>683</v>
      </c>
      <c r="I52" s="115">
        <v>2030</v>
      </c>
      <c r="J52" s="115"/>
      <c r="K52" s="131">
        <f>CCS!$U$52</f>
        <v>0.20833333333333334</v>
      </c>
      <c r="L52" s="131"/>
      <c r="M52" s="131"/>
      <c r="N52" s="131"/>
      <c r="O52" s="131"/>
      <c r="P52" s="115"/>
      <c r="Q52" s="115"/>
      <c r="R52" s="115"/>
      <c r="S52" s="124"/>
      <c r="X52" s="171"/>
      <c r="Y52" s="171"/>
      <c r="Z52" s="171"/>
      <c r="AA52" s="171"/>
      <c r="AB52" s="358"/>
    </row>
    <row r="53" spans="2:28" s="134" customFormat="1">
      <c r="C53" s="115"/>
      <c r="D53" s="115"/>
      <c r="E53" s="115"/>
      <c r="F53" s="115"/>
      <c r="G53" s="115"/>
      <c r="H53" s="244" t="s">
        <v>683</v>
      </c>
      <c r="I53" s="115">
        <v>2050</v>
      </c>
      <c r="J53" s="115"/>
      <c r="K53" s="131"/>
      <c r="L53" s="131">
        <f>X53</f>
        <v>0.66499999999999992</v>
      </c>
      <c r="M53" s="131">
        <f>Y53+CCS!$P$54*7.45/1000</f>
        <v>10.8025</v>
      </c>
      <c r="N53" s="131">
        <f>IND_CCS_N_CAP!M53*CCS!$C$59/100</f>
        <v>0.27006250000000004</v>
      </c>
      <c r="O53" s="131">
        <f>AA53+CCS!$L$60/3.6*7.45</f>
        <v>7.8700972222222223</v>
      </c>
      <c r="P53" s="115"/>
      <c r="Q53" s="115"/>
      <c r="R53" s="115"/>
      <c r="S53" s="124"/>
      <c r="X53" s="171">
        <v>0.66499999999999992</v>
      </c>
      <c r="Y53" s="171">
        <f>Y32</f>
        <v>3.7250000000000001</v>
      </c>
      <c r="Z53" s="171">
        <f t="shared" ref="Z53:AA53" si="4">Z32</f>
        <v>0.25106499999999998</v>
      </c>
      <c r="AA53" s="171">
        <f t="shared" si="4"/>
        <v>3.9381527777777778</v>
      </c>
      <c r="AB53" s="358"/>
    </row>
    <row r="54" spans="2:28" s="134" customFormat="1">
      <c r="B54" s="64"/>
      <c r="C54" s="115"/>
      <c r="D54" s="115"/>
      <c r="E54" s="115" t="s">
        <v>352</v>
      </c>
      <c r="F54" s="115"/>
      <c r="G54" s="115"/>
      <c r="H54" s="244" t="s">
        <v>683</v>
      </c>
      <c r="I54" s="115">
        <v>2050</v>
      </c>
      <c r="J54" s="115"/>
      <c r="K54" s="131">
        <f>CCS!$W$52</f>
        <v>0.20833333333333334</v>
      </c>
      <c r="L54" s="131"/>
      <c r="M54" s="131"/>
      <c r="N54" s="131"/>
      <c r="O54" s="131"/>
      <c r="P54" s="115"/>
      <c r="Q54" s="115"/>
      <c r="R54" s="115"/>
      <c r="S54" s="124"/>
      <c r="AB54" s="124"/>
    </row>
    <row r="55" spans="2:28" s="134" customFormat="1">
      <c r="B55" s="134" t="s">
        <v>241</v>
      </c>
      <c r="C55" s="115" t="s">
        <v>246</v>
      </c>
      <c r="D55" s="115" t="s">
        <v>662</v>
      </c>
      <c r="E55" s="115"/>
      <c r="F55" s="115" t="s">
        <v>250</v>
      </c>
      <c r="G55" s="116"/>
      <c r="H55" s="244" t="s">
        <v>683</v>
      </c>
      <c r="I55" s="115">
        <v>2020</v>
      </c>
      <c r="J55" s="115">
        <v>2030</v>
      </c>
      <c r="L55" s="131">
        <f>X55*0.5</f>
        <v>0.30449999999999999</v>
      </c>
      <c r="M55" s="131">
        <f>Y55+CCS!$M$54*7.45/1000</f>
        <v>8.306750000000001</v>
      </c>
      <c r="N55" s="131">
        <f>IND_CCS_N_CAP!M55*CCS!$C$59/100</f>
        <v>0.20766875000000001</v>
      </c>
      <c r="O55" s="131">
        <f>AA55+CCS!$L$60/3.6*7.45</f>
        <v>4.5165625</v>
      </c>
      <c r="P55" s="97">
        <v>3.1536000000000002E-2</v>
      </c>
      <c r="Q55" s="97">
        <v>0.95</v>
      </c>
      <c r="R55" s="115">
        <v>20</v>
      </c>
      <c r="T55" s="134">
        <v>1</v>
      </c>
      <c r="U55" s="134">
        <v>0.6</v>
      </c>
      <c r="X55" s="134">
        <v>0.60899999999999999</v>
      </c>
      <c r="Y55" s="171">
        <f>Y34</f>
        <v>0.11175</v>
      </c>
      <c r="Z55" s="171">
        <f t="shared" ref="Z55:AA55" si="5">Z34</f>
        <v>1.3545454545454561E-3</v>
      </c>
      <c r="AA55" s="171">
        <f t="shared" si="5"/>
        <v>0.58461805555555546</v>
      </c>
      <c r="AB55" s="124"/>
    </row>
    <row r="56" spans="2:28" s="134" customFormat="1">
      <c r="C56" s="94"/>
      <c r="D56" s="115"/>
      <c r="E56" s="115" t="s">
        <v>352</v>
      </c>
      <c r="F56" s="115"/>
      <c r="G56" s="116"/>
      <c r="H56" s="244" t="s">
        <v>683</v>
      </c>
      <c r="I56" s="115">
        <v>2020</v>
      </c>
      <c r="J56" s="115"/>
      <c r="K56" s="131">
        <f>CCS!$T$52</f>
        <v>0.2391304347826087</v>
      </c>
      <c r="L56" s="131"/>
      <c r="M56" s="131"/>
      <c r="N56" s="131"/>
      <c r="O56" s="131"/>
      <c r="P56" s="97"/>
      <c r="Q56" s="97"/>
      <c r="R56" s="115"/>
      <c r="AB56" s="124"/>
    </row>
    <row r="57" spans="2:28" s="134" customFormat="1">
      <c r="C57" s="94"/>
      <c r="D57" s="115"/>
      <c r="E57" s="115"/>
      <c r="F57" s="115"/>
      <c r="G57" s="114" t="s">
        <v>777</v>
      </c>
      <c r="H57" s="244" t="s">
        <v>683</v>
      </c>
      <c r="I57" s="115">
        <v>2020</v>
      </c>
      <c r="J57" s="115"/>
      <c r="L57" s="131"/>
      <c r="M57" s="131"/>
      <c r="N57" s="131"/>
      <c r="O57" s="131"/>
      <c r="P57" s="115"/>
      <c r="Q57" s="115"/>
      <c r="R57" s="115"/>
      <c r="S57" s="124">
        <f>AB57/L55</f>
        <v>270.28571428571428</v>
      </c>
      <c r="AB57" s="124">
        <f>CCS!$D$52*Emis!$C$11/100</f>
        <v>82.301999999999992</v>
      </c>
    </row>
    <row r="58" spans="2:28" s="134" customFormat="1">
      <c r="C58" s="115"/>
      <c r="D58" s="115"/>
      <c r="E58" s="115"/>
      <c r="F58" s="115"/>
      <c r="G58" s="115"/>
      <c r="H58" s="244" t="s">
        <v>683</v>
      </c>
      <c r="I58" s="115">
        <v>2030</v>
      </c>
      <c r="J58" s="115"/>
      <c r="K58" s="131"/>
      <c r="L58" s="131">
        <f>X58*0.5</f>
        <v>0.31850000000000001</v>
      </c>
      <c r="M58" s="131">
        <f>Y58+CCS!$N$54*7.45/1000</f>
        <v>7.1892499999999995</v>
      </c>
      <c r="N58" s="131">
        <f>IND_CCS_N_CAP!M58*CCS!$C$59/100</f>
        <v>0.17973125000000001</v>
      </c>
      <c r="O58" s="131">
        <f>AA58+CCS!$L$60/3.6*7.45</f>
        <v>4.5165625</v>
      </c>
      <c r="P58" s="115"/>
      <c r="Q58" s="115"/>
      <c r="R58" s="115"/>
      <c r="S58" s="124"/>
      <c r="X58" s="134">
        <v>0.63700000000000001</v>
      </c>
      <c r="Y58" s="171">
        <f>Y37</f>
        <v>0.11175</v>
      </c>
      <c r="Z58" s="171">
        <f t="shared" ref="Z58:AA58" si="6">Z37</f>
        <v>1.3545454545454561E-3</v>
      </c>
      <c r="AA58" s="171">
        <f t="shared" si="6"/>
        <v>0.58461805555555546</v>
      </c>
      <c r="AB58" s="124"/>
    </row>
    <row r="59" spans="2:28" s="134" customFormat="1">
      <c r="B59" s="64"/>
      <c r="C59" s="115"/>
      <c r="D59" s="115"/>
      <c r="E59" s="115" t="s">
        <v>352</v>
      </c>
      <c r="F59" s="115"/>
      <c r="G59" s="115"/>
      <c r="H59" s="244" t="s">
        <v>683</v>
      </c>
      <c r="I59" s="115">
        <v>2030</v>
      </c>
      <c r="J59" s="115"/>
      <c r="K59" s="131">
        <f>CCS!$U$52</f>
        <v>0.20833333333333334</v>
      </c>
      <c r="L59" s="131"/>
      <c r="M59" s="131"/>
      <c r="N59" s="131"/>
      <c r="O59" s="131"/>
      <c r="P59" s="115"/>
      <c r="Q59" s="115"/>
      <c r="R59" s="115"/>
      <c r="S59" s="124"/>
      <c r="AB59" s="124"/>
    </row>
    <row r="60" spans="2:28" s="134" customFormat="1">
      <c r="C60" s="115"/>
      <c r="D60" s="115"/>
      <c r="E60" s="115"/>
      <c r="F60" s="115"/>
      <c r="G60" s="115"/>
      <c r="H60" s="244" t="s">
        <v>683</v>
      </c>
      <c r="I60" s="115">
        <v>2050</v>
      </c>
      <c r="J60" s="115"/>
      <c r="K60" s="131"/>
      <c r="L60" s="131">
        <f>X60*0.5</f>
        <v>0.33249999999999996</v>
      </c>
      <c r="M60" s="131">
        <f>Y60+CCS!$P$54*7.45/1000</f>
        <v>7.1892499999999995</v>
      </c>
      <c r="N60" s="131">
        <f>IND_CCS_N_CAP!M60*CCS!$C$59/100</f>
        <v>0.17973125000000001</v>
      </c>
      <c r="O60" s="131">
        <f>AA60+CCS!$L$60/3.6*7.45</f>
        <v>4.5165625</v>
      </c>
      <c r="P60" s="115"/>
      <c r="Q60" s="115"/>
      <c r="R60" s="115"/>
      <c r="S60" s="124"/>
      <c r="X60" s="134">
        <v>0.66499999999999992</v>
      </c>
      <c r="Y60" s="171">
        <f>Y39</f>
        <v>0.11175</v>
      </c>
      <c r="Z60" s="171">
        <f t="shared" ref="Z60:AA60" si="7">Z39</f>
        <v>1.3545454545454561E-3</v>
      </c>
      <c r="AA60" s="171">
        <f t="shared" si="7"/>
        <v>0.58461805555555546</v>
      </c>
      <c r="AB60" s="124"/>
    </row>
    <row r="61" spans="2:28" s="134" customFormat="1">
      <c r="B61" s="64"/>
      <c r="C61" s="115"/>
      <c r="D61" s="115"/>
      <c r="E61" s="115" t="s">
        <v>352</v>
      </c>
      <c r="F61" s="115"/>
      <c r="G61" s="115"/>
      <c r="H61" s="244" t="s">
        <v>683</v>
      </c>
      <c r="I61" s="115">
        <v>2050</v>
      </c>
      <c r="J61" s="115"/>
      <c r="K61" s="131">
        <f>CCS!$W$52</f>
        <v>0.20833333333333334</v>
      </c>
      <c r="L61" s="131"/>
      <c r="M61" s="131"/>
      <c r="N61" s="131"/>
      <c r="O61" s="131"/>
      <c r="P61" s="115"/>
      <c r="Q61" s="115"/>
      <c r="R61" s="115"/>
      <c r="S61" s="124"/>
      <c r="AB61" s="124"/>
    </row>
    <row r="62" spans="2:28" s="134" customFormat="1">
      <c r="B62" s="134" t="s">
        <v>242</v>
      </c>
      <c r="C62" s="115" t="s">
        <v>247</v>
      </c>
      <c r="D62" s="115" t="s">
        <v>665</v>
      </c>
      <c r="E62" s="115"/>
      <c r="F62" s="115" t="s">
        <v>250</v>
      </c>
      <c r="G62" s="116"/>
      <c r="H62" s="244" t="s">
        <v>683</v>
      </c>
      <c r="I62" s="115">
        <v>2020</v>
      </c>
      <c r="J62" s="115">
        <v>2030</v>
      </c>
      <c r="L62" s="131">
        <f>X62*0.5</f>
        <v>0.35699999999999998</v>
      </c>
      <c r="M62" s="131">
        <f>Y62+CCS!$M$54*7.45/1000</f>
        <v>12.800454545454546</v>
      </c>
      <c r="N62" s="131">
        <f>IND_CCS_N_CAP!M62*CCS!$C$59/100</f>
        <v>0.32001136363636362</v>
      </c>
      <c r="O62" s="131">
        <f>AA62+CCS!$L$60/3.6*7.45</f>
        <v>9.6829305555555543</v>
      </c>
      <c r="P62" s="97">
        <v>3.1536000000000002E-2</v>
      </c>
      <c r="Q62" s="97">
        <v>0.95</v>
      </c>
      <c r="R62" s="115">
        <v>25</v>
      </c>
      <c r="S62" s="124"/>
      <c r="T62" s="134">
        <v>1</v>
      </c>
      <c r="U62" s="134">
        <v>0.6</v>
      </c>
      <c r="X62" s="134">
        <v>0.71399999999999997</v>
      </c>
      <c r="Y62" s="171">
        <f>Y41</f>
        <v>4.6054545454545455</v>
      </c>
      <c r="Z62" s="171">
        <f t="shared" ref="Z62:AA62" si="8">Z41</f>
        <v>0.25106499999999998</v>
      </c>
      <c r="AA62" s="171">
        <f t="shared" si="8"/>
        <v>5.7509861111111107</v>
      </c>
      <c r="AB62" s="124"/>
    </row>
    <row r="63" spans="2:28" s="134" customFormat="1">
      <c r="C63" s="94"/>
      <c r="E63" s="115" t="s">
        <v>352</v>
      </c>
      <c r="F63" s="115"/>
      <c r="G63" s="116"/>
      <c r="H63" s="244" t="s">
        <v>683</v>
      </c>
      <c r="I63" s="115">
        <v>2020</v>
      </c>
      <c r="J63" s="115"/>
      <c r="K63" s="131">
        <f>CCS!$T$52</f>
        <v>0.2391304347826087</v>
      </c>
      <c r="L63" s="131"/>
      <c r="M63" s="131"/>
      <c r="N63" s="131"/>
      <c r="O63" s="131"/>
      <c r="P63" s="97"/>
      <c r="Q63" s="97"/>
      <c r="R63" s="115"/>
      <c r="S63" s="124"/>
      <c r="AB63" s="124"/>
    </row>
    <row r="64" spans="2:28" s="134" customFormat="1">
      <c r="C64" s="94"/>
      <c r="D64" s="115"/>
      <c r="E64" s="115"/>
      <c r="F64" s="115"/>
      <c r="G64" s="114" t="s">
        <v>777</v>
      </c>
      <c r="H64" s="244" t="s">
        <v>683</v>
      </c>
      <c r="I64" s="115">
        <v>2020</v>
      </c>
      <c r="J64" s="115"/>
      <c r="L64" s="131"/>
      <c r="M64" s="131"/>
      <c r="N64" s="131"/>
      <c r="O64" s="131"/>
      <c r="P64" s="115"/>
      <c r="Q64" s="115"/>
      <c r="R64" s="115"/>
      <c r="S64" s="124">
        <f>AB64/L62</f>
        <v>138.78571428571431</v>
      </c>
      <c r="AB64" s="124">
        <f>CCS!$D$52*Emis!$F$11/100</f>
        <v>49.546500000000009</v>
      </c>
    </row>
    <row r="65" spans="2:28" s="134" customFormat="1">
      <c r="C65" s="115"/>
      <c r="D65" s="115"/>
      <c r="E65" s="115"/>
      <c r="F65" s="115"/>
      <c r="G65" s="115"/>
      <c r="H65" s="244" t="s">
        <v>683</v>
      </c>
      <c r="I65" s="115">
        <v>2030</v>
      </c>
      <c r="J65" s="115"/>
      <c r="K65" s="131"/>
      <c r="L65" s="131">
        <f>X65*0.5</f>
        <v>0.35699999999999998</v>
      </c>
      <c r="M65" s="131">
        <f>Y65+CCS!$N$54*7.45/1000</f>
        <v>11.682954545454546</v>
      </c>
      <c r="N65" s="131">
        <f>IND_CCS_N_CAP!M65*CCS!$C$59/100</f>
        <v>0.29207386363636367</v>
      </c>
      <c r="O65" s="131">
        <f>AA65+CCS!$L$60/3.6*7.45</f>
        <v>9.6829305555555543</v>
      </c>
      <c r="P65" s="115"/>
      <c r="Q65" s="115"/>
      <c r="R65" s="115"/>
      <c r="S65" s="124"/>
      <c r="X65" s="134">
        <v>0.71399999999999997</v>
      </c>
      <c r="Y65" s="171">
        <f>Y44</f>
        <v>4.6054545454545455</v>
      </c>
      <c r="Z65" s="171">
        <f t="shared" ref="Z65:AA65" si="9">Z44</f>
        <v>0.25106499999999998</v>
      </c>
      <c r="AA65" s="171">
        <f t="shared" si="9"/>
        <v>5.7509861111111107</v>
      </c>
      <c r="AB65" s="124"/>
    </row>
    <row r="66" spans="2:28" s="134" customFormat="1">
      <c r="B66" s="64"/>
      <c r="C66" s="115"/>
      <c r="D66" s="115"/>
      <c r="E66" s="115" t="s">
        <v>352</v>
      </c>
      <c r="F66" s="115"/>
      <c r="G66" s="115"/>
      <c r="H66" s="244" t="s">
        <v>683</v>
      </c>
      <c r="I66" s="115">
        <v>2030</v>
      </c>
      <c r="J66" s="115"/>
      <c r="K66" s="131">
        <f>CCS!$U$52</f>
        <v>0.20833333333333334</v>
      </c>
      <c r="L66" s="131"/>
      <c r="M66" s="131"/>
      <c r="N66" s="131"/>
      <c r="O66" s="131"/>
      <c r="P66" s="115"/>
      <c r="Q66" s="115"/>
      <c r="R66" s="115"/>
      <c r="S66" s="124"/>
      <c r="AB66" s="124"/>
    </row>
    <row r="67" spans="2:28" s="134" customFormat="1">
      <c r="C67" s="115"/>
      <c r="D67" s="115"/>
      <c r="E67" s="115"/>
      <c r="F67" s="115"/>
      <c r="G67" s="115"/>
      <c r="H67" s="244" t="s">
        <v>683</v>
      </c>
      <c r="I67" s="115">
        <v>2050</v>
      </c>
      <c r="J67" s="115"/>
      <c r="K67" s="131"/>
      <c r="L67" s="131">
        <f>X67*0.5</f>
        <v>0.35699999999999998</v>
      </c>
      <c r="M67" s="131">
        <f>Y67+CCS!$P$54*7.45/1000</f>
        <v>11.682954545454546</v>
      </c>
      <c r="N67" s="131">
        <f>IND_CCS_N_CAP!M67*CCS!$C$59/100</f>
        <v>0.29207386363636367</v>
      </c>
      <c r="O67" s="131">
        <f>AA67+CCS!$L$60/3.6*7.45</f>
        <v>9.6829305555555543</v>
      </c>
      <c r="P67" s="115"/>
      <c r="Q67" s="115"/>
      <c r="R67" s="115"/>
      <c r="S67" s="124"/>
      <c r="X67" s="134">
        <v>0.71399999999999997</v>
      </c>
      <c r="Y67" s="171">
        <f>Y46</f>
        <v>4.6054545454545455</v>
      </c>
      <c r="Z67" s="171">
        <f t="shared" ref="Z67:AA67" si="10">Z46</f>
        <v>0.25106499999999998</v>
      </c>
      <c r="AA67" s="171">
        <f t="shared" si="10"/>
        <v>5.7509861111111107</v>
      </c>
      <c r="AB67" s="124"/>
    </row>
    <row r="68" spans="2:28" s="134" customFormat="1">
      <c r="B68" s="64"/>
      <c r="C68" s="115"/>
      <c r="D68" s="115"/>
      <c r="E68" s="115" t="s">
        <v>352</v>
      </c>
      <c r="F68" s="115"/>
      <c r="G68" s="115"/>
      <c r="H68" s="244" t="s">
        <v>683</v>
      </c>
      <c r="I68" s="115">
        <v>2050</v>
      </c>
      <c r="J68" s="115"/>
      <c r="K68" s="131">
        <f>CCS!$W$52</f>
        <v>0.20833333333333334</v>
      </c>
      <c r="L68" s="131"/>
      <c r="M68" s="131"/>
      <c r="N68" s="131"/>
      <c r="O68" s="131"/>
      <c r="P68" s="115"/>
      <c r="Q68" s="115"/>
      <c r="R68" s="115"/>
      <c r="S68" s="124"/>
      <c r="AB68" s="124"/>
    </row>
    <row r="69" spans="2:28" s="134" customFormat="1">
      <c r="B69" s="134" t="s">
        <v>230</v>
      </c>
      <c r="C69" s="115" t="s">
        <v>236</v>
      </c>
      <c r="D69" s="115" t="s">
        <v>663</v>
      </c>
      <c r="E69" s="115"/>
      <c r="F69" s="115" t="s">
        <v>250</v>
      </c>
      <c r="G69" s="116"/>
      <c r="H69" s="244" t="s">
        <v>683</v>
      </c>
      <c r="I69" s="115">
        <v>2020</v>
      </c>
      <c r="J69" s="115">
        <v>2030</v>
      </c>
      <c r="L69" s="131">
        <f>X69*0.5</f>
        <v>0.54</v>
      </c>
      <c r="M69" s="131">
        <f>Y69+CCS!$M$54*7.45/1000</f>
        <v>11.92</v>
      </c>
      <c r="N69" s="131">
        <f>IND_CCS_N_CAP!M69*CCS!$C$59/100</f>
        <v>0.29799999999999999</v>
      </c>
      <c r="O69" s="131">
        <f>AA69+CCS!$L$60/3.6*7.45</f>
        <v>7.8700972222222223</v>
      </c>
      <c r="P69" s="97">
        <v>3.1536000000000002E-2</v>
      </c>
      <c r="Q69" s="97">
        <v>0.95</v>
      </c>
      <c r="R69" s="115">
        <v>20</v>
      </c>
      <c r="T69" s="134">
        <v>1</v>
      </c>
      <c r="U69" s="134">
        <v>0.6</v>
      </c>
      <c r="X69" s="134">
        <v>1.08</v>
      </c>
      <c r="Y69" s="171">
        <f>Y48</f>
        <v>3.7250000000000001</v>
      </c>
      <c r="Z69" s="171">
        <f t="shared" ref="Z69:AA69" si="11">Z48</f>
        <v>0.25106499999999998</v>
      </c>
      <c r="AA69" s="171">
        <f t="shared" si="11"/>
        <v>3.9381527777777778</v>
      </c>
      <c r="AB69" s="124"/>
    </row>
    <row r="70" spans="2:28" s="134" customFormat="1">
      <c r="C70" s="94"/>
      <c r="D70" s="115"/>
      <c r="E70" s="115" t="s">
        <v>352</v>
      </c>
      <c r="F70" s="115"/>
      <c r="G70" s="116"/>
      <c r="H70" s="244" t="s">
        <v>683</v>
      </c>
      <c r="I70" s="115">
        <v>2020</v>
      </c>
      <c r="J70" s="115"/>
      <c r="K70" s="131">
        <f>CCS!$T$52</f>
        <v>0.2391304347826087</v>
      </c>
      <c r="L70" s="131"/>
      <c r="M70" s="131"/>
      <c r="N70" s="131"/>
      <c r="O70" s="131"/>
      <c r="P70" s="97"/>
      <c r="Q70" s="97"/>
      <c r="R70" s="115"/>
      <c r="AB70" s="124"/>
    </row>
    <row r="71" spans="2:28" s="134" customFormat="1">
      <c r="C71" s="94"/>
      <c r="D71" s="115"/>
      <c r="E71" s="115"/>
      <c r="F71" s="115"/>
      <c r="G71" s="114" t="s">
        <v>883</v>
      </c>
      <c r="H71" s="244" t="s">
        <v>683</v>
      </c>
      <c r="I71" s="115">
        <v>2020</v>
      </c>
      <c r="J71" s="115"/>
      <c r="L71" s="131"/>
      <c r="M71" s="131"/>
      <c r="N71" s="131"/>
      <c r="O71" s="131"/>
      <c r="P71" s="115"/>
      <c r="Q71" s="115"/>
      <c r="R71" s="115"/>
      <c r="S71" s="124">
        <f>AB71/L69</f>
        <v>152.4111111111111</v>
      </c>
      <c r="AB71" s="124">
        <f>CCS!$D$52*Emis!$C$11/100</f>
        <v>82.301999999999992</v>
      </c>
    </row>
    <row r="72" spans="2:28" s="134" customFormat="1">
      <c r="C72" s="115"/>
      <c r="D72" s="115"/>
      <c r="E72" s="115"/>
      <c r="F72" s="115"/>
      <c r="G72" s="115"/>
      <c r="H72" s="244" t="s">
        <v>683</v>
      </c>
      <c r="I72" s="115">
        <v>2030</v>
      </c>
      <c r="J72" s="115"/>
      <c r="K72" s="131"/>
      <c r="L72" s="131">
        <f>X72*0.5</f>
        <v>0.54</v>
      </c>
      <c r="M72" s="131">
        <f>Y72+CCS!$N$54*7.45/1000</f>
        <v>10.8025</v>
      </c>
      <c r="N72" s="131">
        <f>IND_CCS_N_CAP!M72*CCS!$C$59/100</f>
        <v>0.27006250000000004</v>
      </c>
      <c r="O72" s="131">
        <f>AA72+CCS!$L$60/3.6*7.45</f>
        <v>7.8700972222222223</v>
      </c>
      <c r="P72" s="115"/>
      <c r="Q72" s="115"/>
      <c r="R72" s="115"/>
      <c r="S72" s="124"/>
      <c r="X72" s="134">
        <v>1.08</v>
      </c>
      <c r="Y72" s="171">
        <f>Y51</f>
        <v>3.7250000000000001</v>
      </c>
      <c r="Z72" s="171">
        <f t="shared" ref="Z72:AA72" si="12">Z51</f>
        <v>0.25106499999999998</v>
      </c>
      <c r="AA72" s="171">
        <f t="shared" si="12"/>
        <v>3.9381527777777778</v>
      </c>
      <c r="AB72" s="124"/>
    </row>
    <row r="73" spans="2:28" s="134" customFormat="1">
      <c r="B73" s="64"/>
      <c r="C73" s="115"/>
      <c r="D73" s="115"/>
      <c r="E73" s="115" t="s">
        <v>352</v>
      </c>
      <c r="F73" s="115"/>
      <c r="G73" s="115"/>
      <c r="H73" s="244" t="s">
        <v>683</v>
      </c>
      <c r="I73" s="115">
        <v>2030</v>
      </c>
      <c r="J73" s="115"/>
      <c r="K73" s="131">
        <f>CCS!$U$52</f>
        <v>0.20833333333333334</v>
      </c>
      <c r="L73" s="131"/>
      <c r="M73" s="131"/>
      <c r="N73" s="131"/>
      <c r="O73" s="131"/>
      <c r="P73" s="115"/>
      <c r="Q73" s="115"/>
      <c r="R73" s="115"/>
      <c r="S73" s="124"/>
      <c r="AB73" s="124"/>
    </row>
    <row r="74" spans="2:28" s="134" customFormat="1">
      <c r="C74" s="115"/>
      <c r="D74" s="115"/>
      <c r="E74" s="115"/>
      <c r="F74" s="115"/>
      <c r="G74" s="115"/>
      <c r="H74" s="244" t="s">
        <v>683</v>
      </c>
      <c r="I74" s="115">
        <v>2050</v>
      </c>
      <c r="J74" s="115"/>
      <c r="K74" s="131"/>
      <c r="L74" s="131">
        <f>X74*0.5</f>
        <v>0.54</v>
      </c>
      <c r="M74" s="131">
        <f>Y74+CCS!$P$54*7.45/1000</f>
        <v>10.8025</v>
      </c>
      <c r="N74" s="131">
        <f>IND_CCS_N_CAP!M74*CCS!$C$59/100</f>
        <v>0.27006250000000004</v>
      </c>
      <c r="O74" s="131">
        <f>AA74+CCS!$L$60/3.6*7.45</f>
        <v>7.8700972222222223</v>
      </c>
      <c r="P74" s="115"/>
      <c r="Q74" s="115"/>
      <c r="R74" s="115"/>
      <c r="S74" s="124"/>
      <c r="X74" s="134">
        <v>1.08</v>
      </c>
      <c r="Y74" s="171">
        <f>Y53</f>
        <v>3.7250000000000001</v>
      </c>
      <c r="Z74" s="171">
        <f t="shared" ref="Z74:AA74" si="13">Z53</f>
        <v>0.25106499999999998</v>
      </c>
      <c r="AA74" s="171">
        <f t="shared" si="13"/>
        <v>3.9381527777777778</v>
      </c>
      <c r="AB74" s="124"/>
    </row>
    <row r="75" spans="2:28" s="134" customFormat="1">
      <c r="B75" s="64"/>
      <c r="C75" s="115"/>
      <c r="D75" s="115"/>
      <c r="E75" s="115" t="s">
        <v>352</v>
      </c>
      <c r="F75" s="115"/>
      <c r="G75" s="115"/>
      <c r="H75" s="244" t="s">
        <v>683</v>
      </c>
      <c r="I75" s="115">
        <v>2050</v>
      </c>
      <c r="J75" s="115"/>
      <c r="K75" s="131">
        <f>CCS!$W$52</f>
        <v>0.20833333333333334</v>
      </c>
      <c r="L75" s="131"/>
      <c r="M75" s="131"/>
      <c r="N75" s="131"/>
      <c r="O75" s="131"/>
      <c r="P75" s="115"/>
      <c r="Q75" s="115"/>
      <c r="R75" s="115"/>
      <c r="S75" s="124"/>
      <c r="AB75" s="124"/>
    </row>
    <row r="76" spans="2:28" s="134" customFormat="1">
      <c r="B76" s="134" t="s">
        <v>231</v>
      </c>
      <c r="C76" s="115" t="s">
        <v>237</v>
      </c>
      <c r="D76" s="115" t="s">
        <v>664</v>
      </c>
      <c r="E76" s="115"/>
      <c r="F76" s="115" t="s">
        <v>250</v>
      </c>
      <c r="G76" s="116"/>
      <c r="H76" s="244" t="s">
        <v>683</v>
      </c>
      <c r="I76" s="115">
        <v>2020</v>
      </c>
      <c r="J76" s="115">
        <v>2030</v>
      </c>
      <c r="L76" s="131">
        <f>X76*0.5</f>
        <v>0.30449999999999999</v>
      </c>
      <c r="M76" s="131">
        <f>Y76+CCS!$M$54*7.45/1000</f>
        <v>11.92</v>
      </c>
      <c r="N76" s="131">
        <f>IND_CCS_N_CAP!M76*CCS!$C$59/100</f>
        <v>0.29799999999999999</v>
      </c>
      <c r="O76" s="131">
        <f>AA76+CCS!$L$60/3.6*7.45</f>
        <v>7.8700972222222223</v>
      </c>
      <c r="P76" s="97">
        <v>3.1536000000000002E-2</v>
      </c>
      <c r="Q76" s="97">
        <v>0.95</v>
      </c>
      <c r="R76" s="115">
        <v>20</v>
      </c>
      <c r="S76" s="124"/>
      <c r="T76" s="134">
        <v>1</v>
      </c>
      <c r="U76" s="134">
        <v>0.6</v>
      </c>
      <c r="X76" s="134">
        <v>0.60899999999999999</v>
      </c>
      <c r="Y76" s="171">
        <f>Y69</f>
        <v>3.7250000000000001</v>
      </c>
      <c r="Z76" s="171">
        <f t="shared" ref="Z76:AA76" si="14">Z69</f>
        <v>0.25106499999999998</v>
      </c>
      <c r="AA76" s="171">
        <f t="shared" si="14"/>
        <v>3.9381527777777778</v>
      </c>
      <c r="AB76" s="124"/>
    </row>
    <row r="77" spans="2:28" s="134" customFormat="1">
      <c r="C77" s="94"/>
      <c r="D77" s="115"/>
      <c r="E77" s="115" t="s">
        <v>352</v>
      </c>
      <c r="F77" s="115"/>
      <c r="G77" s="116"/>
      <c r="H77" s="244" t="s">
        <v>683</v>
      </c>
      <c r="I77" s="115">
        <v>2020</v>
      </c>
      <c r="J77" s="115"/>
      <c r="K77" s="131">
        <f>CCS!$T$52</f>
        <v>0.2391304347826087</v>
      </c>
      <c r="L77" s="131"/>
      <c r="M77" s="131"/>
      <c r="N77" s="131"/>
      <c r="O77" s="131"/>
      <c r="P77" s="97"/>
      <c r="Q77" s="97"/>
      <c r="R77" s="115"/>
      <c r="S77" s="124"/>
      <c r="AB77" s="124"/>
    </row>
    <row r="78" spans="2:28" s="134" customFormat="1">
      <c r="C78" s="94"/>
      <c r="D78" s="115"/>
      <c r="E78" s="115"/>
      <c r="F78" s="115"/>
      <c r="G78" s="114" t="s">
        <v>883</v>
      </c>
      <c r="H78" s="244" t="s">
        <v>683</v>
      </c>
      <c r="I78" s="115">
        <v>2020</v>
      </c>
      <c r="J78" s="115"/>
      <c r="L78" s="131"/>
      <c r="M78" s="131"/>
      <c r="N78" s="131"/>
      <c r="O78" s="131"/>
      <c r="P78" s="115"/>
      <c r="Q78" s="115"/>
      <c r="R78" s="115"/>
      <c r="S78" s="124">
        <f>AB78/L76</f>
        <v>270.28571428571428</v>
      </c>
      <c r="AB78" s="124">
        <f>CCS!$D$52*Emis!$C$11/100</f>
        <v>82.301999999999992</v>
      </c>
    </row>
    <row r="79" spans="2:28" s="134" customFormat="1">
      <c r="C79" s="115"/>
      <c r="D79" s="115"/>
      <c r="E79" s="115"/>
      <c r="F79" s="115"/>
      <c r="G79" s="115"/>
      <c r="H79" s="244" t="s">
        <v>683</v>
      </c>
      <c r="I79" s="115">
        <v>2030</v>
      </c>
      <c r="J79" s="115"/>
      <c r="K79" s="131"/>
      <c r="L79" s="131">
        <f>X79*0.5</f>
        <v>0.31850000000000001</v>
      </c>
      <c r="M79" s="131">
        <f>Y79+CCS!$N$54*7.45/1000</f>
        <v>10.8025</v>
      </c>
      <c r="N79" s="131">
        <f>IND_CCS_N_CAP!M79*CCS!$C$59/100</f>
        <v>0.27006250000000004</v>
      </c>
      <c r="O79" s="131">
        <f>AA79+CCS!$L$60/3.6*7.45</f>
        <v>7.8700972222222223</v>
      </c>
      <c r="P79" s="115"/>
      <c r="Q79" s="115"/>
      <c r="R79" s="115"/>
      <c r="S79" s="124"/>
      <c r="X79" s="134">
        <v>0.63700000000000001</v>
      </c>
      <c r="Y79" s="171">
        <f>Y72</f>
        <v>3.7250000000000001</v>
      </c>
      <c r="Z79" s="171">
        <f t="shared" ref="Z79:AA79" si="15">Z72</f>
        <v>0.25106499999999998</v>
      </c>
      <c r="AA79" s="171">
        <f t="shared" si="15"/>
        <v>3.9381527777777778</v>
      </c>
      <c r="AB79" s="124"/>
    </row>
    <row r="80" spans="2:28" s="134" customFormat="1">
      <c r="B80" s="64"/>
      <c r="C80" s="115"/>
      <c r="D80" s="115"/>
      <c r="E80" s="115" t="s">
        <v>352</v>
      </c>
      <c r="F80" s="115"/>
      <c r="G80" s="115"/>
      <c r="H80" s="244" t="s">
        <v>683</v>
      </c>
      <c r="I80" s="115">
        <v>2030</v>
      </c>
      <c r="J80" s="115"/>
      <c r="K80" s="131">
        <f>CCS!$U$52</f>
        <v>0.20833333333333334</v>
      </c>
      <c r="L80" s="131"/>
      <c r="M80" s="131"/>
      <c r="N80" s="131"/>
      <c r="O80" s="131"/>
      <c r="P80" s="115"/>
      <c r="Q80" s="115"/>
      <c r="R80" s="115"/>
      <c r="S80" s="124"/>
      <c r="AB80" s="124"/>
    </row>
    <row r="81" spans="2:28" s="134" customFormat="1">
      <c r="C81" s="115"/>
      <c r="D81" s="115"/>
      <c r="E81" s="115"/>
      <c r="F81" s="115"/>
      <c r="G81" s="115"/>
      <c r="H81" s="244" t="s">
        <v>683</v>
      </c>
      <c r="I81" s="115">
        <v>2050</v>
      </c>
      <c r="J81" s="115"/>
      <c r="K81" s="131"/>
      <c r="L81" s="131">
        <f>X81*0.5</f>
        <v>0.33249999999999996</v>
      </c>
      <c r="M81" s="131">
        <f>Y81+CCS!$P$54*7.45/1000</f>
        <v>10.8025</v>
      </c>
      <c r="N81" s="131">
        <f>IND_CCS_N_CAP!M81*CCS!$C$59/100</f>
        <v>0.27006250000000004</v>
      </c>
      <c r="O81" s="131">
        <f>AA81+CCS!$L$60/3.6*7.45</f>
        <v>7.8700972222222223</v>
      </c>
      <c r="P81" s="115"/>
      <c r="Q81" s="115"/>
      <c r="R81" s="115"/>
      <c r="S81" s="124"/>
      <c r="X81" s="134">
        <v>0.66499999999999992</v>
      </c>
      <c r="Y81" s="171">
        <f>Y74</f>
        <v>3.7250000000000001</v>
      </c>
      <c r="Z81" s="171">
        <f t="shared" ref="Z81:AA81" si="16">Z74</f>
        <v>0.25106499999999998</v>
      </c>
      <c r="AA81" s="171">
        <f t="shared" si="16"/>
        <v>3.9381527777777778</v>
      </c>
      <c r="AB81" s="124"/>
    </row>
    <row r="82" spans="2:28" s="134" customFormat="1">
      <c r="B82" s="64"/>
      <c r="C82" s="115"/>
      <c r="D82" s="115"/>
      <c r="E82" s="115" t="s">
        <v>352</v>
      </c>
      <c r="F82" s="115"/>
      <c r="G82" s="115"/>
      <c r="H82" s="244" t="s">
        <v>683</v>
      </c>
      <c r="I82" s="115">
        <v>2050</v>
      </c>
      <c r="J82" s="115"/>
      <c r="K82" s="131">
        <f>CCS!$W$52</f>
        <v>0.20833333333333334</v>
      </c>
      <c r="L82" s="131"/>
      <c r="M82" s="131"/>
      <c r="N82" s="131"/>
      <c r="O82" s="131"/>
      <c r="P82" s="115"/>
      <c r="Q82" s="115"/>
      <c r="R82" s="115"/>
      <c r="S82" s="124"/>
      <c r="AB82" s="124"/>
    </row>
    <row r="83" spans="2:28" s="134" customFormat="1">
      <c r="C83" s="115"/>
      <c r="D83" s="115"/>
      <c r="E83" s="115"/>
      <c r="F83" s="115"/>
      <c r="G83" s="114"/>
      <c r="H83" s="114"/>
      <c r="I83" s="115"/>
      <c r="J83" s="115"/>
      <c r="K83" s="131"/>
      <c r="L83" s="131"/>
      <c r="M83" s="131"/>
      <c r="N83" s="131"/>
      <c r="O83" s="131"/>
      <c r="P83" s="115"/>
      <c r="Q83" s="115"/>
      <c r="R83" s="115"/>
      <c r="S83" s="124"/>
      <c r="Y83" s="131"/>
      <c r="Z83" s="131"/>
      <c r="AA83" s="131"/>
      <c r="AB83" s="124"/>
    </row>
    <row r="84" spans="2:28" s="134" customFormat="1">
      <c r="C84" s="115"/>
      <c r="D84" s="115"/>
      <c r="E84" s="115"/>
      <c r="F84" s="115"/>
      <c r="G84" s="114"/>
      <c r="H84" s="114"/>
      <c r="I84" s="115"/>
      <c r="J84" s="115"/>
      <c r="K84" s="131"/>
      <c r="L84" s="131"/>
      <c r="M84" s="131"/>
      <c r="N84" s="131"/>
      <c r="O84" s="131"/>
      <c r="P84" s="115"/>
      <c r="Q84" s="115"/>
      <c r="R84" s="115"/>
      <c r="S84" s="124"/>
      <c r="Y84" s="131"/>
      <c r="Z84" s="131"/>
      <c r="AA84" s="131"/>
      <c r="AB84" s="124"/>
    </row>
    <row r="85" spans="2:28" s="134" customFormat="1">
      <c r="C85" s="115"/>
      <c r="D85" s="115"/>
      <c r="E85" s="115"/>
      <c r="F85" s="115"/>
      <c r="G85" s="114"/>
      <c r="H85" s="114"/>
      <c r="I85" s="115"/>
      <c r="J85" s="115"/>
      <c r="K85" s="131"/>
      <c r="L85" s="131"/>
      <c r="M85" s="131"/>
      <c r="N85" s="131"/>
      <c r="O85" s="131"/>
      <c r="P85" s="115"/>
      <c r="Q85" s="115"/>
      <c r="R85" s="115"/>
      <c r="S85" s="124"/>
      <c r="Y85" s="131"/>
      <c r="Z85" s="131"/>
      <c r="AA85" s="131"/>
      <c r="AB85" s="124"/>
    </row>
    <row r="86" spans="2:28" s="134" customFormat="1">
      <c r="C86" s="115"/>
      <c r="D86" s="115"/>
      <c r="E86" s="115"/>
      <c r="F86" s="115"/>
      <c r="G86" s="114"/>
      <c r="H86" s="114"/>
      <c r="I86" s="115"/>
      <c r="J86" s="115"/>
      <c r="K86" s="131"/>
      <c r="L86" s="131"/>
      <c r="M86" s="131"/>
      <c r="N86" s="131"/>
      <c r="O86" s="131"/>
      <c r="P86" s="115"/>
      <c r="Q86" s="115"/>
      <c r="R86" s="115"/>
      <c r="S86" s="124"/>
      <c r="Y86" s="131"/>
      <c r="Z86" s="131"/>
      <c r="AA86" s="131"/>
      <c r="AB86" s="124"/>
    </row>
    <row r="87" spans="2:28" s="134" customFormat="1">
      <c r="C87" s="115"/>
      <c r="D87" s="115"/>
      <c r="E87" s="115"/>
      <c r="F87" s="115"/>
      <c r="G87" s="114"/>
      <c r="H87" s="114"/>
      <c r="I87" s="115"/>
      <c r="J87" s="115"/>
      <c r="K87" s="131"/>
      <c r="L87" s="131"/>
      <c r="M87" s="131"/>
      <c r="N87" s="131"/>
      <c r="O87" s="131"/>
      <c r="P87" s="115"/>
      <c r="Q87" s="115"/>
      <c r="R87" s="115"/>
      <c r="S87" s="124"/>
      <c r="Y87" s="131"/>
      <c r="Z87" s="131"/>
      <c r="AA87" s="131"/>
      <c r="AB87" s="124"/>
    </row>
    <row r="88" spans="2:28" s="134" customFormat="1">
      <c r="C88" s="115"/>
      <c r="D88" s="115"/>
      <c r="E88" s="115"/>
      <c r="F88" s="115"/>
      <c r="G88" s="114"/>
      <c r="H88" s="114"/>
      <c r="I88" s="115"/>
      <c r="J88" s="115"/>
      <c r="K88" s="131"/>
      <c r="L88" s="131"/>
      <c r="M88" s="131"/>
      <c r="N88" s="131"/>
      <c r="O88" s="131"/>
      <c r="P88" s="115"/>
      <c r="Q88" s="115"/>
      <c r="R88" s="115"/>
      <c r="S88" s="124"/>
      <c r="Y88" s="131"/>
      <c r="Z88" s="131"/>
      <c r="AA88" s="131"/>
      <c r="AB88" s="124"/>
    </row>
    <row r="89" spans="2:28">
      <c r="B89" s="94"/>
      <c r="C89" s="115"/>
      <c r="D89" s="115"/>
      <c r="E89" s="115"/>
      <c r="F89" s="115"/>
      <c r="G89" s="114"/>
      <c r="H89" s="114"/>
      <c r="I89" s="115"/>
      <c r="J89" s="115"/>
      <c r="K89" s="131"/>
      <c r="L89" s="131"/>
      <c r="M89" s="131"/>
      <c r="N89" s="131"/>
      <c r="O89" s="131"/>
      <c r="P89" s="115"/>
      <c r="Q89" s="115"/>
      <c r="R89" s="115"/>
      <c r="S89" s="124"/>
      <c r="AB89" s="124"/>
    </row>
    <row r="90" spans="2:28">
      <c r="B90" s="94"/>
      <c r="C90" s="115"/>
      <c r="D90" s="115"/>
      <c r="E90" s="115"/>
      <c r="F90" s="115"/>
      <c r="G90" s="115"/>
      <c r="H90" s="115"/>
      <c r="I90" s="115"/>
      <c r="J90" s="115"/>
      <c r="K90" s="131"/>
      <c r="L90" s="131"/>
      <c r="M90" s="131"/>
      <c r="N90" s="131"/>
      <c r="O90" s="131"/>
      <c r="P90" s="115"/>
      <c r="Q90" s="115"/>
      <c r="R90" s="115"/>
      <c r="S90" s="124"/>
      <c r="AB90" s="124"/>
    </row>
    <row r="91" spans="2:28">
      <c r="B91" s="94"/>
      <c r="C91" s="115"/>
      <c r="D91" s="115"/>
      <c r="E91" s="115"/>
      <c r="F91" s="115"/>
      <c r="G91" s="114"/>
      <c r="H91" s="114"/>
      <c r="I91" s="115"/>
      <c r="J91" s="115"/>
      <c r="K91" s="131"/>
      <c r="L91" s="131"/>
      <c r="M91" s="131"/>
      <c r="N91" s="131"/>
      <c r="O91" s="131"/>
      <c r="P91" s="115"/>
      <c r="Q91" s="115"/>
      <c r="R91" s="115"/>
      <c r="S91" s="124"/>
      <c r="AB91" s="124"/>
    </row>
    <row r="92" spans="2:28">
      <c r="B92" s="94"/>
      <c r="C92" s="115"/>
      <c r="D92" s="115"/>
      <c r="E92" s="115"/>
      <c r="F92" s="115"/>
      <c r="G92" s="114"/>
      <c r="H92" s="114"/>
      <c r="I92" s="115"/>
      <c r="J92" s="115"/>
      <c r="K92" s="131"/>
      <c r="L92" s="131"/>
      <c r="M92" s="131"/>
      <c r="N92" s="131"/>
      <c r="O92" s="131"/>
      <c r="P92" s="115"/>
      <c r="Q92" s="115"/>
      <c r="R92" s="115"/>
      <c r="S92" s="124"/>
      <c r="AB92" s="124"/>
    </row>
    <row r="93" spans="2:28">
      <c r="B93" s="94"/>
      <c r="C93" s="94"/>
      <c r="D93" s="115"/>
      <c r="E93" s="115"/>
      <c r="F93" s="115"/>
      <c r="G93" s="116"/>
      <c r="H93" s="116"/>
      <c r="I93" s="115"/>
      <c r="J93" s="115"/>
      <c r="K93" s="131"/>
      <c r="L93" s="131"/>
      <c r="M93" s="131"/>
      <c r="N93" s="131"/>
      <c r="O93" s="131"/>
      <c r="P93" s="97"/>
      <c r="Q93" s="97"/>
      <c r="R93" s="115"/>
      <c r="S93" s="121"/>
    </row>
    <row r="94" spans="2:28">
      <c r="B94" s="94"/>
      <c r="C94" s="94"/>
      <c r="D94" s="115"/>
      <c r="E94" s="115"/>
      <c r="F94" s="115"/>
      <c r="G94" s="114"/>
      <c r="H94" s="114"/>
      <c r="I94" s="115"/>
      <c r="J94" s="115"/>
      <c r="K94" s="131"/>
      <c r="L94" s="131"/>
      <c r="M94" s="131"/>
      <c r="N94" s="131"/>
      <c r="O94" s="131"/>
      <c r="P94" s="115"/>
      <c r="Q94" s="115"/>
      <c r="R94" s="115"/>
      <c r="S94" s="124"/>
      <c r="AB94" s="124"/>
    </row>
    <row r="95" spans="2:28">
      <c r="B95" s="94"/>
      <c r="C95" s="94"/>
      <c r="D95" s="115"/>
      <c r="E95" s="115"/>
      <c r="F95" s="115"/>
      <c r="G95" s="114"/>
      <c r="H95" s="114"/>
      <c r="I95" s="115"/>
      <c r="J95" s="115"/>
      <c r="K95" s="131"/>
      <c r="L95" s="131"/>
      <c r="M95" s="131"/>
      <c r="N95" s="131"/>
      <c r="O95" s="131"/>
      <c r="P95" s="115"/>
      <c r="Q95" s="115"/>
      <c r="R95" s="115"/>
      <c r="S95" s="124"/>
      <c r="AB95" s="124"/>
    </row>
    <row r="96" spans="2:28">
      <c r="B96" s="94"/>
      <c r="C96" s="115"/>
      <c r="D96" s="115"/>
      <c r="E96" s="115"/>
      <c r="F96" s="115"/>
      <c r="G96" s="115"/>
      <c r="H96" s="115"/>
      <c r="I96" s="115"/>
      <c r="J96" s="115"/>
      <c r="K96" s="131"/>
      <c r="L96" s="131"/>
      <c r="M96" s="131"/>
      <c r="N96" s="131"/>
      <c r="O96" s="131"/>
      <c r="P96" s="115"/>
      <c r="Q96" s="115"/>
      <c r="R96" s="115"/>
      <c r="S96" s="124"/>
      <c r="AB96" s="124"/>
    </row>
    <row r="97" spans="2:28">
      <c r="B97" s="94"/>
      <c r="C97" s="115"/>
      <c r="D97" s="115"/>
      <c r="E97" s="115"/>
      <c r="F97" s="115"/>
      <c r="G97" s="114"/>
      <c r="H97" s="114"/>
      <c r="I97" s="115"/>
      <c r="J97" s="115"/>
      <c r="K97" s="131"/>
      <c r="L97" s="131"/>
      <c r="M97" s="131"/>
      <c r="N97" s="131"/>
      <c r="O97" s="131"/>
      <c r="P97" s="115"/>
      <c r="Q97" s="115"/>
      <c r="R97" s="115"/>
      <c r="S97" s="124"/>
      <c r="AB97" s="124"/>
    </row>
    <row r="98" spans="2:28">
      <c r="B98" s="94"/>
      <c r="C98" s="115"/>
      <c r="D98" s="115"/>
      <c r="E98" s="115"/>
      <c r="F98" s="115"/>
      <c r="G98" s="114"/>
      <c r="H98" s="114"/>
      <c r="I98" s="115"/>
      <c r="J98" s="115"/>
      <c r="K98" s="131"/>
      <c r="L98" s="131"/>
      <c r="M98" s="131"/>
      <c r="N98" s="131"/>
      <c r="O98" s="131"/>
      <c r="P98" s="115"/>
      <c r="Q98" s="115"/>
      <c r="R98" s="115"/>
      <c r="S98" s="124"/>
      <c r="AB98" s="124"/>
    </row>
    <row r="99" spans="2:28">
      <c r="B99" s="94"/>
      <c r="C99" s="115"/>
      <c r="D99" s="115"/>
      <c r="E99" s="115"/>
      <c r="F99" s="115"/>
      <c r="G99" s="115"/>
      <c r="H99" s="115"/>
      <c r="I99" s="115"/>
      <c r="J99" s="115"/>
      <c r="K99" s="131"/>
      <c r="L99" s="131"/>
      <c r="M99" s="131"/>
      <c r="N99" s="131"/>
      <c r="O99" s="131"/>
      <c r="P99" s="115"/>
      <c r="Q99" s="115"/>
      <c r="R99" s="115"/>
      <c r="S99" s="124"/>
      <c r="AB99" s="124"/>
    </row>
    <row r="100" spans="2:28">
      <c r="B100" s="115"/>
      <c r="C100" s="115"/>
      <c r="D100" s="115"/>
      <c r="E100" s="115"/>
      <c r="F100" s="115"/>
      <c r="G100" s="114"/>
      <c r="H100" s="114"/>
      <c r="I100" s="115"/>
      <c r="J100" s="115"/>
      <c r="K100" s="131"/>
      <c r="L100" s="131"/>
      <c r="M100" s="131"/>
      <c r="N100" s="131"/>
      <c r="O100" s="131"/>
      <c r="P100" s="115"/>
      <c r="Q100" s="115"/>
      <c r="R100" s="115"/>
      <c r="S100" s="124"/>
      <c r="AB100" s="124"/>
    </row>
    <row r="101" spans="2:28">
      <c r="B101" s="115"/>
      <c r="C101" s="115"/>
      <c r="D101" s="115"/>
      <c r="E101" s="115"/>
      <c r="F101" s="115"/>
      <c r="G101" s="114"/>
      <c r="H101" s="114"/>
      <c r="I101" s="115"/>
      <c r="J101" s="115"/>
      <c r="K101" s="131"/>
      <c r="L101" s="131"/>
      <c r="M101" s="131"/>
      <c r="N101" s="131"/>
      <c r="O101" s="131"/>
      <c r="P101" s="115"/>
      <c r="Q101" s="115"/>
      <c r="R101" s="115"/>
      <c r="S101" s="124"/>
      <c r="AB101" s="124"/>
    </row>
    <row r="102" spans="2:28">
      <c r="B102" s="115"/>
      <c r="C102" s="94"/>
      <c r="D102" s="115"/>
      <c r="E102" s="115"/>
      <c r="F102" s="115"/>
      <c r="G102" s="116"/>
      <c r="H102" s="116"/>
      <c r="I102" s="115"/>
      <c r="J102" s="115"/>
      <c r="K102" s="131"/>
      <c r="L102" s="131"/>
      <c r="M102" s="131"/>
      <c r="N102" s="131"/>
      <c r="O102" s="131"/>
      <c r="P102" s="97"/>
      <c r="Q102" s="97"/>
      <c r="R102" s="115"/>
      <c r="S102" s="121"/>
    </row>
    <row r="103" spans="2:28">
      <c r="B103" s="115"/>
      <c r="C103" s="94"/>
      <c r="D103" s="115"/>
      <c r="E103" s="115"/>
      <c r="F103" s="115"/>
      <c r="G103" s="114"/>
      <c r="H103" s="114"/>
      <c r="I103" s="115"/>
      <c r="J103" s="115"/>
      <c r="K103" s="131"/>
      <c r="L103" s="131"/>
      <c r="M103" s="131"/>
      <c r="N103" s="131"/>
      <c r="O103" s="131"/>
      <c r="P103" s="115"/>
      <c r="Q103" s="115"/>
      <c r="R103" s="115"/>
      <c r="S103" s="124"/>
      <c r="AB103" s="124"/>
    </row>
    <row r="104" spans="2:28">
      <c r="B104" s="115"/>
      <c r="C104" s="94"/>
      <c r="D104" s="115"/>
      <c r="E104" s="115"/>
      <c r="F104" s="115"/>
      <c r="G104" s="114"/>
      <c r="H104" s="114"/>
      <c r="I104" s="115"/>
      <c r="J104" s="115"/>
      <c r="K104" s="131"/>
      <c r="L104" s="131"/>
      <c r="M104" s="131"/>
      <c r="N104" s="131"/>
      <c r="O104" s="131"/>
      <c r="P104" s="115"/>
      <c r="Q104" s="115"/>
      <c r="R104" s="115"/>
      <c r="S104" s="124"/>
      <c r="AB104" s="124"/>
    </row>
    <row r="105" spans="2:28">
      <c r="B105" s="115"/>
      <c r="C105" s="115"/>
      <c r="D105" s="115"/>
      <c r="E105" s="115"/>
      <c r="F105" s="115"/>
      <c r="G105" s="115"/>
      <c r="H105" s="115"/>
      <c r="I105" s="115"/>
      <c r="J105" s="115"/>
      <c r="K105" s="131"/>
      <c r="L105" s="131"/>
      <c r="M105" s="131"/>
      <c r="N105" s="131"/>
      <c r="O105" s="131"/>
      <c r="P105" s="115"/>
      <c r="Q105" s="115"/>
      <c r="R105" s="115"/>
      <c r="S105" s="124"/>
      <c r="AB105" s="124"/>
    </row>
    <row r="106" spans="2:28">
      <c r="B106" s="115"/>
      <c r="C106" s="115"/>
      <c r="D106" s="115"/>
      <c r="E106" s="115"/>
      <c r="F106" s="115"/>
      <c r="G106" s="114"/>
      <c r="H106" s="114"/>
      <c r="I106" s="115"/>
      <c r="J106" s="115"/>
      <c r="K106" s="131"/>
      <c r="L106" s="131"/>
      <c r="M106" s="131"/>
      <c r="N106" s="131"/>
      <c r="O106" s="131"/>
      <c r="P106" s="115"/>
      <c r="Q106" s="115"/>
      <c r="R106" s="115"/>
      <c r="S106" s="124"/>
      <c r="AB106" s="124"/>
    </row>
    <row r="107" spans="2:28">
      <c r="B107" s="115"/>
      <c r="C107" s="115"/>
      <c r="D107" s="115"/>
      <c r="E107" s="115"/>
      <c r="F107" s="115"/>
      <c r="G107" s="114"/>
      <c r="H107" s="114"/>
      <c r="I107" s="115"/>
      <c r="J107" s="115"/>
      <c r="K107" s="131"/>
      <c r="L107" s="131"/>
      <c r="M107" s="131"/>
      <c r="N107" s="131"/>
      <c r="O107" s="131"/>
      <c r="P107" s="115"/>
      <c r="Q107" s="115"/>
      <c r="R107" s="115"/>
      <c r="S107" s="124"/>
      <c r="AB107" s="124"/>
    </row>
    <row r="108" spans="2:28">
      <c r="B108" s="115"/>
      <c r="C108" s="115"/>
      <c r="D108" s="115"/>
      <c r="E108" s="115"/>
      <c r="F108" s="115"/>
      <c r="G108" s="115"/>
      <c r="H108" s="115"/>
      <c r="I108" s="115"/>
      <c r="J108" s="115"/>
      <c r="K108" s="131"/>
      <c r="L108" s="131"/>
      <c r="M108" s="131"/>
      <c r="N108" s="131"/>
      <c r="O108" s="131"/>
      <c r="P108" s="115"/>
      <c r="Q108" s="115"/>
      <c r="R108" s="115"/>
      <c r="S108" s="124"/>
      <c r="AB108" s="124"/>
    </row>
    <row r="109" spans="2:28">
      <c r="B109" s="115"/>
      <c r="C109" s="115"/>
      <c r="D109" s="115"/>
      <c r="E109" s="115"/>
      <c r="F109" s="115"/>
      <c r="G109" s="114"/>
      <c r="H109" s="114"/>
      <c r="I109" s="115"/>
      <c r="J109" s="115"/>
      <c r="K109" s="131"/>
      <c r="L109" s="131"/>
      <c r="M109" s="131"/>
      <c r="N109" s="131"/>
      <c r="O109" s="131"/>
      <c r="P109" s="115"/>
      <c r="Q109" s="115"/>
      <c r="R109" s="115"/>
      <c r="S109" s="124"/>
      <c r="AB109" s="124"/>
    </row>
    <row r="110" spans="2:28">
      <c r="B110" s="115"/>
      <c r="C110" s="115"/>
      <c r="D110" s="115"/>
      <c r="E110" s="115"/>
      <c r="F110" s="115"/>
      <c r="G110" s="114"/>
      <c r="H110" s="114"/>
      <c r="I110" s="115"/>
      <c r="J110" s="115"/>
      <c r="K110" s="131"/>
      <c r="L110" s="131"/>
      <c r="M110" s="131"/>
      <c r="N110" s="131"/>
      <c r="O110" s="131"/>
      <c r="P110" s="115"/>
      <c r="Q110" s="115"/>
      <c r="R110" s="115"/>
      <c r="S110" s="124"/>
      <c r="AB110" s="124"/>
    </row>
    <row r="111" spans="2:28">
      <c r="B111" s="115"/>
      <c r="C111" s="94"/>
      <c r="D111" s="115"/>
      <c r="E111" s="115"/>
      <c r="F111" s="115"/>
      <c r="G111" s="116"/>
      <c r="H111" s="116"/>
      <c r="I111" s="115"/>
      <c r="J111" s="115"/>
      <c r="K111" s="131"/>
      <c r="L111" s="131"/>
      <c r="M111" s="131"/>
      <c r="N111" s="131"/>
      <c r="O111" s="131"/>
      <c r="P111" s="97"/>
      <c r="Q111" s="97"/>
      <c r="R111" s="115"/>
      <c r="S111" s="121"/>
    </row>
    <row r="112" spans="2:28">
      <c r="B112" s="115"/>
      <c r="C112" s="94"/>
      <c r="D112" s="115"/>
      <c r="E112" s="115"/>
      <c r="F112" s="115"/>
      <c r="G112" s="114"/>
      <c r="H112" s="114"/>
      <c r="I112" s="115"/>
      <c r="J112" s="115"/>
      <c r="K112" s="131"/>
      <c r="L112" s="131"/>
      <c r="M112" s="131"/>
      <c r="N112" s="131"/>
      <c r="O112" s="131"/>
      <c r="P112" s="115"/>
      <c r="Q112" s="115"/>
      <c r="R112" s="115"/>
      <c r="S112" s="124"/>
      <c r="AB112" s="124"/>
    </row>
    <row r="113" spans="2:28">
      <c r="B113" s="115"/>
      <c r="C113" s="94"/>
      <c r="D113" s="115"/>
      <c r="E113" s="115"/>
      <c r="F113" s="115"/>
      <c r="G113" s="114"/>
      <c r="H113" s="114"/>
      <c r="I113" s="115"/>
      <c r="J113" s="115"/>
      <c r="K113" s="131"/>
      <c r="L113" s="131"/>
      <c r="M113" s="131"/>
      <c r="N113" s="131"/>
      <c r="O113" s="131"/>
      <c r="P113" s="115"/>
      <c r="Q113" s="115"/>
      <c r="R113" s="115"/>
      <c r="S113" s="124"/>
      <c r="AB113" s="124"/>
    </row>
    <row r="114" spans="2:28">
      <c r="B114" s="115"/>
      <c r="C114" s="115"/>
      <c r="D114" s="115"/>
      <c r="E114" s="115"/>
      <c r="F114" s="115"/>
      <c r="G114" s="115"/>
      <c r="H114" s="115"/>
      <c r="I114" s="115"/>
      <c r="J114" s="115"/>
      <c r="K114" s="131"/>
      <c r="L114" s="131"/>
      <c r="M114" s="131"/>
      <c r="N114" s="131"/>
      <c r="O114" s="131"/>
      <c r="P114" s="115"/>
      <c r="Q114" s="115"/>
      <c r="R114" s="115"/>
      <c r="S114" s="124"/>
      <c r="AB114" s="124"/>
    </row>
    <row r="115" spans="2:28">
      <c r="B115" s="115"/>
      <c r="C115" s="115"/>
      <c r="D115" s="115"/>
      <c r="E115" s="115"/>
      <c r="F115" s="115"/>
      <c r="G115" s="114"/>
      <c r="H115" s="114"/>
      <c r="I115" s="115"/>
      <c r="J115" s="115"/>
      <c r="K115" s="131"/>
      <c r="L115" s="131"/>
      <c r="M115" s="131"/>
      <c r="N115" s="131"/>
      <c r="O115" s="131"/>
      <c r="P115" s="115"/>
      <c r="Q115" s="115"/>
      <c r="R115" s="115"/>
      <c r="S115" s="124"/>
      <c r="AB115" s="124"/>
    </row>
    <row r="116" spans="2:28">
      <c r="B116" s="115"/>
      <c r="C116" s="115"/>
      <c r="D116" s="115"/>
      <c r="E116" s="115"/>
      <c r="F116" s="115"/>
      <c r="G116" s="114"/>
      <c r="H116" s="114"/>
      <c r="I116" s="115"/>
      <c r="J116" s="115"/>
      <c r="K116" s="131"/>
      <c r="L116" s="131"/>
      <c r="M116" s="131"/>
      <c r="N116" s="131"/>
      <c r="O116" s="131"/>
      <c r="P116" s="115"/>
      <c r="Q116" s="115"/>
      <c r="R116" s="115"/>
      <c r="S116" s="124"/>
      <c r="AB116" s="124"/>
    </row>
    <row r="117" spans="2:28">
      <c r="B117" s="115"/>
      <c r="C117" s="115"/>
      <c r="D117" s="115"/>
      <c r="E117" s="115"/>
      <c r="F117" s="115"/>
      <c r="G117" s="115"/>
      <c r="H117" s="115"/>
      <c r="I117" s="115"/>
      <c r="J117" s="115"/>
      <c r="K117" s="131"/>
      <c r="L117" s="131"/>
      <c r="M117" s="131"/>
      <c r="N117" s="131"/>
      <c r="O117" s="131"/>
      <c r="P117" s="115"/>
      <c r="Q117" s="115"/>
      <c r="R117" s="115"/>
      <c r="S117" s="124"/>
      <c r="AB117" s="124"/>
    </row>
    <row r="118" spans="2:28">
      <c r="B118" s="115"/>
      <c r="C118" s="115"/>
      <c r="D118" s="115"/>
      <c r="E118" s="115"/>
      <c r="F118" s="115"/>
      <c r="G118" s="114"/>
      <c r="H118" s="114"/>
      <c r="I118" s="115"/>
      <c r="J118" s="115"/>
      <c r="K118" s="131"/>
      <c r="L118" s="131"/>
      <c r="M118" s="131"/>
      <c r="N118" s="131"/>
      <c r="O118" s="131"/>
      <c r="P118" s="115"/>
      <c r="Q118" s="115"/>
      <c r="R118" s="115"/>
      <c r="S118" s="124"/>
      <c r="AB118" s="124"/>
    </row>
    <row r="119" spans="2:28">
      <c r="B119" s="115"/>
      <c r="C119" s="115"/>
      <c r="D119" s="115"/>
      <c r="E119" s="115"/>
      <c r="F119" s="115"/>
      <c r="G119" s="114"/>
      <c r="H119" s="114"/>
      <c r="I119" s="115"/>
      <c r="J119" s="115"/>
      <c r="K119" s="131"/>
      <c r="L119" s="131"/>
      <c r="M119" s="131"/>
      <c r="N119" s="131"/>
      <c r="O119" s="131"/>
      <c r="P119" s="115"/>
      <c r="Q119" s="115"/>
      <c r="R119" s="115"/>
      <c r="S119" s="124"/>
      <c r="AB119" s="124"/>
    </row>
    <row r="120" spans="2:28">
      <c r="B120" s="115"/>
      <c r="C120" s="94"/>
      <c r="D120" s="115"/>
      <c r="E120" s="115"/>
      <c r="F120" s="115"/>
      <c r="G120" s="116"/>
      <c r="H120" s="116"/>
      <c r="I120" s="115"/>
      <c r="J120" s="115"/>
      <c r="K120" s="131"/>
      <c r="L120" s="131"/>
      <c r="M120" s="131"/>
      <c r="N120" s="131"/>
      <c r="O120" s="131"/>
      <c r="P120" s="97"/>
      <c r="Q120" s="97"/>
      <c r="R120" s="115"/>
      <c r="S120" s="121"/>
    </row>
    <row r="121" spans="2:28">
      <c r="B121" s="115"/>
      <c r="C121" s="94"/>
      <c r="D121" s="115"/>
      <c r="E121" s="115"/>
      <c r="F121" s="115"/>
      <c r="G121" s="114"/>
      <c r="H121" s="114"/>
      <c r="I121" s="115"/>
      <c r="J121" s="115"/>
      <c r="K121" s="131"/>
      <c r="L121" s="131"/>
      <c r="M121" s="131"/>
      <c r="N121" s="131"/>
      <c r="O121" s="131"/>
      <c r="P121" s="115"/>
      <c r="Q121" s="115"/>
      <c r="R121" s="115"/>
      <c r="S121" s="124"/>
      <c r="AB121" s="124"/>
    </row>
    <row r="122" spans="2:28">
      <c r="B122" s="115"/>
      <c r="C122" s="94"/>
      <c r="D122" s="115"/>
      <c r="E122" s="115"/>
      <c r="F122" s="115"/>
      <c r="G122" s="114"/>
      <c r="H122" s="114"/>
      <c r="I122" s="115"/>
      <c r="J122" s="115"/>
      <c r="K122" s="131"/>
      <c r="L122" s="131"/>
      <c r="M122" s="131"/>
      <c r="N122" s="131"/>
      <c r="O122" s="131"/>
      <c r="P122" s="115"/>
      <c r="Q122" s="115"/>
      <c r="R122" s="115"/>
      <c r="S122" s="124"/>
      <c r="AB122" s="124"/>
    </row>
    <row r="123" spans="2:28">
      <c r="B123" s="115"/>
      <c r="C123" s="115"/>
      <c r="D123" s="115"/>
      <c r="E123" s="115"/>
      <c r="F123" s="115"/>
      <c r="G123" s="115"/>
      <c r="H123" s="115"/>
      <c r="I123" s="115"/>
      <c r="J123" s="115"/>
      <c r="K123" s="131"/>
      <c r="L123" s="131"/>
      <c r="M123" s="131"/>
      <c r="N123" s="131"/>
      <c r="O123" s="131"/>
      <c r="P123" s="115"/>
      <c r="Q123" s="115"/>
      <c r="R123" s="115"/>
      <c r="S123" s="124"/>
      <c r="AB123" s="124"/>
    </row>
    <row r="124" spans="2:28">
      <c r="B124" s="115"/>
      <c r="C124" s="115"/>
      <c r="D124" s="115"/>
      <c r="E124" s="115"/>
      <c r="F124" s="115"/>
      <c r="G124" s="114"/>
      <c r="H124" s="114"/>
      <c r="I124" s="115"/>
      <c r="J124" s="115"/>
      <c r="K124" s="131"/>
      <c r="L124" s="131"/>
      <c r="M124" s="131"/>
      <c r="N124" s="131"/>
      <c r="O124" s="131"/>
      <c r="P124" s="115"/>
      <c r="Q124" s="115"/>
      <c r="R124" s="115"/>
      <c r="S124" s="124"/>
      <c r="AB124" s="124"/>
    </row>
    <row r="125" spans="2:28">
      <c r="B125" s="115"/>
      <c r="C125" s="115"/>
      <c r="D125" s="115"/>
      <c r="E125" s="115"/>
      <c r="F125" s="115"/>
      <c r="G125" s="114"/>
      <c r="H125" s="114"/>
      <c r="I125" s="115"/>
      <c r="J125" s="115"/>
      <c r="K125" s="131"/>
      <c r="L125" s="131"/>
      <c r="M125" s="131"/>
      <c r="N125" s="131"/>
      <c r="O125" s="131"/>
      <c r="P125" s="115"/>
      <c r="Q125" s="115"/>
      <c r="R125" s="115"/>
      <c r="S125" s="124"/>
      <c r="AB125" s="124"/>
    </row>
    <row r="126" spans="2:28">
      <c r="B126" s="115"/>
      <c r="C126" s="115"/>
      <c r="D126" s="115"/>
      <c r="E126" s="115"/>
      <c r="F126" s="115"/>
      <c r="G126" s="115"/>
      <c r="H126" s="115"/>
      <c r="I126" s="115"/>
      <c r="J126" s="115"/>
      <c r="K126" s="131"/>
      <c r="L126" s="131"/>
      <c r="M126" s="131"/>
      <c r="N126" s="131"/>
      <c r="O126" s="131"/>
      <c r="P126" s="115"/>
      <c r="Q126" s="115"/>
      <c r="R126" s="115"/>
      <c r="S126" s="124"/>
      <c r="AB126" s="124"/>
    </row>
    <row r="127" spans="2:28">
      <c r="B127" s="115"/>
      <c r="C127" s="115"/>
      <c r="D127" s="115"/>
      <c r="E127" s="115"/>
      <c r="F127" s="115"/>
      <c r="G127" s="114"/>
      <c r="H127" s="114"/>
      <c r="I127" s="115"/>
      <c r="J127" s="115"/>
      <c r="K127" s="131"/>
      <c r="L127" s="131"/>
      <c r="M127" s="131"/>
      <c r="N127" s="131"/>
      <c r="O127" s="131"/>
      <c r="P127" s="115"/>
      <c r="Q127" s="115"/>
      <c r="R127" s="115"/>
      <c r="S127" s="124"/>
      <c r="AB127" s="124"/>
    </row>
    <row r="128" spans="2:28">
      <c r="B128" s="115"/>
      <c r="C128" s="115"/>
      <c r="D128" s="115"/>
      <c r="E128" s="115"/>
      <c r="F128" s="115"/>
      <c r="G128" s="114"/>
      <c r="H128" s="114"/>
      <c r="I128" s="115"/>
      <c r="J128" s="115"/>
      <c r="K128" s="131"/>
      <c r="L128" s="131"/>
      <c r="M128" s="131"/>
      <c r="N128" s="131"/>
      <c r="O128" s="131"/>
      <c r="P128" s="115"/>
      <c r="Q128" s="115"/>
      <c r="R128" s="115"/>
      <c r="S128" s="124"/>
      <c r="AB128" s="124"/>
    </row>
    <row r="129" spans="2:28">
      <c r="B129" s="115"/>
      <c r="C129" s="94"/>
      <c r="D129" s="115"/>
      <c r="E129" s="115"/>
      <c r="F129" s="115"/>
      <c r="G129" s="116"/>
      <c r="H129" s="116"/>
      <c r="I129" s="115"/>
      <c r="J129" s="115"/>
      <c r="K129" s="131"/>
      <c r="L129" s="131"/>
      <c r="M129" s="131"/>
      <c r="N129" s="131"/>
      <c r="O129" s="131"/>
      <c r="P129" s="97"/>
      <c r="Q129" s="97"/>
      <c r="R129" s="115"/>
      <c r="S129" s="121"/>
    </row>
    <row r="130" spans="2:28">
      <c r="B130" s="115"/>
      <c r="C130" s="94"/>
      <c r="D130" s="115"/>
      <c r="E130" s="115"/>
      <c r="F130" s="115"/>
      <c r="G130" s="114"/>
      <c r="H130" s="114"/>
      <c r="I130" s="115"/>
      <c r="J130" s="115"/>
      <c r="K130" s="131"/>
      <c r="L130" s="131"/>
      <c r="M130" s="131"/>
      <c r="N130" s="131"/>
      <c r="O130" s="131"/>
      <c r="P130" s="115"/>
      <c r="Q130" s="115"/>
      <c r="R130" s="115"/>
      <c r="S130" s="124"/>
      <c r="AB130" s="124"/>
    </row>
    <row r="131" spans="2:28">
      <c r="B131" s="115"/>
      <c r="C131" s="94"/>
      <c r="D131" s="115"/>
      <c r="E131" s="115"/>
      <c r="F131" s="115"/>
      <c r="G131" s="114"/>
      <c r="H131" s="114"/>
      <c r="I131" s="115"/>
      <c r="J131" s="115"/>
      <c r="K131" s="131"/>
      <c r="L131" s="131"/>
      <c r="M131" s="131"/>
      <c r="N131" s="131"/>
      <c r="O131" s="131"/>
      <c r="P131" s="115"/>
      <c r="Q131" s="115"/>
      <c r="R131" s="115"/>
      <c r="S131" s="124"/>
      <c r="AB131" s="124"/>
    </row>
    <row r="132" spans="2:28">
      <c r="B132" s="115"/>
      <c r="C132" s="115"/>
      <c r="D132" s="115"/>
      <c r="E132" s="115"/>
      <c r="F132" s="115"/>
      <c r="G132" s="115"/>
      <c r="H132" s="115"/>
      <c r="I132" s="115"/>
      <c r="J132" s="115"/>
      <c r="K132" s="131"/>
      <c r="L132" s="131"/>
      <c r="M132" s="131"/>
      <c r="N132" s="131"/>
      <c r="O132" s="131"/>
      <c r="P132" s="115"/>
      <c r="Q132" s="115"/>
      <c r="R132" s="115"/>
      <c r="S132" s="124"/>
      <c r="AB132" s="124"/>
    </row>
    <row r="133" spans="2:28">
      <c r="B133" s="115"/>
      <c r="C133" s="115"/>
      <c r="D133" s="115"/>
      <c r="E133" s="115"/>
      <c r="F133" s="115"/>
      <c r="G133" s="114"/>
      <c r="H133" s="114"/>
      <c r="I133" s="115"/>
      <c r="J133" s="115"/>
      <c r="K133" s="131"/>
      <c r="L133" s="131"/>
      <c r="M133" s="131"/>
      <c r="N133" s="131"/>
      <c r="O133" s="131"/>
      <c r="P133" s="115"/>
      <c r="Q133" s="115"/>
      <c r="R133" s="115"/>
      <c r="S133" s="124"/>
      <c r="AB133" s="124"/>
    </row>
    <row r="134" spans="2:28">
      <c r="B134" s="115"/>
      <c r="C134" s="115"/>
      <c r="D134" s="115"/>
      <c r="E134" s="115"/>
      <c r="F134" s="115"/>
      <c r="G134" s="114"/>
      <c r="H134" s="114"/>
      <c r="I134" s="115"/>
      <c r="J134" s="115"/>
      <c r="K134" s="131"/>
      <c r="L134" s="131"/>
      <c r="M134" s="131"/>
      <c r="N134" s="131"/>
      <c r="O134" s="131"/>
      <c r="P134" s="115"/>
      <c r="Q134" s="115"/>
      <c r="R134" s="115"/>
      <c r="S134" s="124"/>
      <c r="AB134" s="124"/>
    </row>
    <row r="135" spans="2:28">
      <c r="B135" s="115"/>
      <c r="C135" s="115"/>
      <c r="D135" s="115"/>
      <c r="E135" s="115"/>
      <c r="F135" s="115"/>
      <c r="G135" s="115"/>
      <c r="H135" s="115"/>
      <c r="I135" s="115"/>
      <c r="J135" s="115"/>
      <c r="K135" s="131"/>
      <c r="L135" s="131"/>
      <c r="M135" s="131"/>
      <c r="N135" s="131"/>
      <c r="O135" s="131"/>
      <c r="P135" s="115"/>
      <c r="Q135" s="115"/>
      <c r="R135" s="115"/>
      <c r="S135" s="124"/>
      <c r="AB135" s="124"/>
    </row>
    <row r="136" spans="2:28">
      <c r="B136" s="115"/>
      <c r="C136" s="115"/>
      <c r="D136" s="115"/>
      <c r="E136" s="115"/>
      <c r="F136" s="115"/>
      <c r="G136" s="114"/>
      <c r="H136" s="114"/>
      <c r="I136" s="115"/>
      <c r="J136" s="115"/>
      <c r="K136" s="131"/>
      <c r="L136" s="131"/>
      <c r="M136" s="131"/>
      <c r="N136" s="131"/>
      <c r="O136" s="131"/>
      <c r="P136" s="115"/>
      <c r="Q136" s="115"/>
      <c r="R136" s="115"/>
      <c r="S136" s="124"/>
      <c r="AB136" s="124"/>
    </row>
    <row r="137" spans="2:28">
      <c r="B137" s="115"/>
      <c r="C137" s="115"/>
      <c r="D137" s="115"/>
      <c r="E137" s="115"/>
      <c r="F137" s="115"/>
      <c r="G137" s="114"/>
      <c r="H137" s="114"/>
      <c r="I137" s="115"/>
      <c r="J137" s="115"/>
      <c r="K137" s="131"/>
      <c r="L137" s="131"/>
      <c r="M137" s="131"/>
      <c r="N137" s="131"/>
      <c r="O137" s="131"/>
      <c r="P137" s="115"/>
      <c r="Q137" s="115"/>
      <c r="R137" s="115"/>
      <c r="S137" s="124"/>
      <c r="AB137" s="124"/>
    </row>
    <row r="138" spans="2:28">
      <c r="B138" s="115"/>
      <c r="C138" s="94"/>
      <c r="D138" s="115"/>
      <c r="E138" s="115"/>
      <c r="F138" s="115"/>
      <c r="G138" s="116"/>
      <c r="H138" s="116"/>
      <c r="I138" s="115"/>
      <c r="J138" s="115"/>
      <c r="K138" s="131"/>
      <c r="L138" s="131"/>
      <c r="M138" s="131"/>
      <c r="N138" s="131"/>
      <c r="O138" s="131"/>
      <c r="P138" s="97"/>
      <c r="Q138" s="97"/>
      <c r="R138" s="115"/>
      <c r="S138" s="121"/>
    </row>
    <row r="139" spans="2:28">
      <c r="B139" s="115"/>
      <c r="C139" s="94"/>
      <c r="D139" s="115"/>
      <c r="E139" s="115"/>
      <c r="F139" s="115"/>
      <c r="G139" s="114"/>
      <c r="H139" s="114"/>
      <c r="I139" s="115"/>
      <c r="J139" s="115"/>
      <c r="K139" s="131"/>
      <c r="L139" s="131"/>
      <c r="M139" s="131"/>
      <c r="N139" s="131"/>
      <c r="O139" s="131"/>
      <c r="P139" s="115"/>
      <c r="Q139" s="115"/>
      <c r="R139" s="115"/>
      <c r="S139" s="124"/>
      <c r="AB139" s="124"/>
    </row>
    <row r="140" spans="2:28">
      <c r="B140" s="115"/>
      <c r="C140" s="94"/>
      <c r="D140" s="115"/>
      <c r="E140" s="115"/>
      <c r="F140" s="115"/>
      <c r="G140" s="114"/>
      <c r="H140" s="114"/>
      <c r="I140" s="115"/>
      <c r="J140" s="115"/>
      <c r="K140" s="131"/>
      <c r="L140" s="131"/>
      <c r="M140" s="131"/>
      <c r="N140" s="131"/>
      <c r="O140" s="131"/>
      <c r="P140" s="115"/>
      <c r="Q140" s="115"/>
      <c r="R140" s="115"/>
      <c r="S140" s="124"/>
      <c r="AB140" s="124"/>
    </row>
    <row r="141" spans="2:28">
      <c r="B141" s="115"/>
      <c r="C141" s="115"/>
      <c r="D141" s="115"/>
      <c r="E141" s="115"/>
      <c r="F141" s="115"/>
      <c r="G141" s="115"/>
      <c r="H141" s="115"/>
      <c r="I141" s="115"/>
      <c r="J141" s="115"/>
      <c r="K141" s="131"/>
      <c r="L141" s="131"/>
      <c r="M141" s="131"/>
      <c r="N141" s="131"/>
      <c r="O141" s="131"/>
      <c r="P141" s="115"/>
      <c r="Q141" s="115"/>
      <c r="R141" s="115"/>
      <c r="S141" s="124"/>
      <c r="AB141" s="124"/>
    </row>
    <row r="142" spans="2:28">
      <c r="B142" s="115"/>
      <c r="C142" s="115"/>
      <c r="D142" s="115"/>
      <c r="E142" s="115"/>
      <c r="F142" s="115"/>
      <c r="G142" s="114"/>
      <c r="H142" s="114"/>
      <c r="I142" s="115"/>
      <c r="J142" s="115"/>
      <c r="K142" s="131"/>
      <c r="L142" s="131"/>
      <c r="M142" s="131"/>
      <c r="N142" s="131"/>
      <c r="O142" s="131"/>
      <c r="P142" s="115"/>
      <c r="Q142" s="115"/>
      <c r="R142" s="115"/>
      <c r="S142" s="124"/>
      <c r="AB142" s="124"/>
    </row>
    <row r="143" spans="2:28">
      <c r="B143" s="115"/>
      <c r="C143" s="115"/>
      <c r="D143" s="115"/>
      <c r="E143" s="115"/>
      <c r="F143" s="115"/>
      <c r="G143" s="114"/>
      <c r="H143" s="114"/>
      <c r="I143" s="115"/>
      <c r="J143" s="115"/>
      <c r="K143" s="131"/>
      <c r="L143" s="131"/>
      <c r="M143" s="131"/>
      <c r="N143" s="131"/>
      <c r="O143" s="131"/>
      <c r="P143" s="115"/>
      <c r="Q143" s="115"/>
      <c r="R143" s="115"/>
      <c r="S143" s="124"/>
      <c r="AB143" s="124"/>
    </row>
    <row r="144" spans="2:28">
      <c r="B144" s="115"/>
      <c r="C144" s="115"/>
      <c r="D144" s="115"/>
      <c r="E144" s="115"/>
      <c r="F144" s="115"/>
      <c r="G144" s="115"/>
      <c r="H144" s="115"/>
      <c r="I144" s="115"/>
      <c r="J144" s="115"/>
      <c r="K144" s="131"/>
      <c r="L144" s="131"/>
      <c r="M144" s="131"/>
      <c r="N144" s="131"/>
      <c r="O144" s="131"/>
      <c r="P144" s="115"/>
      <c r="Q144" s="115"/>
      <c r="R144" s="115"/>
      <c r="S144" s="124"/>
      <c r="AB144" s="124"/>
    </row>
    <row r="145" spans="2:28">
      <c r="B145" s="115"/>
      <c r="C145" s="115"/>
      <c r="D145" s="115"/>
      <c r="E145" s="115"/>
      <c r="F145" s="115"/>
      <c r="G145" s="114"/>
      <c r="H145" s="114"/>
      <c r="I145" s="115"/>
      <c r="J145" s="115"/>
      <c r="K145" s="131"/>
      <c r="L145" s="131"/>
      <c r="M145" s="131"/>
      <c r="N145" s="131"/>
      <c r="O145" s="131"/>
      <c r="P145" s="115"/>
      <c r="Q145" s="115"/>
      <c r="R145" s="115"/>
      <c r="S145" s="124"/>
      <c r="AB145" s="124"/>
    </row>
    <row r="146" spans="2:28">
      <c r="B146" s="115"/>
      <c r="C146" s="115"/>
      <c r="D146" s="115"/>
      <c r="E146" s="115"/>
      <c r="F146" s="115"/>
      <c r="G146" s="114"/>
      <c r="H146" s="114"/>
      <c r="I146" s="115"/>
      <c r="J146" s="115"/>
      <c r="K146" s="131"/>
      <c r="L146" s="131"/>
      <c r="M146" s="131"/>
      <c r="N146" s="131"/>
      <c r="O146" s="131"/>
      <c r="P146" s="115"/>
      <c r="Q146" s="115"/>
      <c r="R146" s="115"/>
      <c r="S146" s="124"/>
      <c r="AB146" s="124"/>
    </row>
    <row r="147" spans="2:28">
      <c r="B147" s="115"/>
      <c r="C147" s="94"/>
      <c r="D147" s="115"/>
      <c r="E147" s="115"/>
      <c r="F147" s="115"/>
      <c r="G147" s="116"/>
      <c r="H147" s="116"/>
      <c r="I147" s="115"/>
      <c r="J147" s="115"/>
      <c r="K147" s="131"/>
      <c r="L147" s="131"/>
      <c r="M147" s="131"/>
      <c r="N147" s="131"/>
      <c r="O147" s="131"/>
      <c r="P147" s="97"/>
      <c r="Q147" s="97"/>
      <c r="R147" s="115"/>
      <c r="S147" s="121"/>
    </row>
    <row r="148" spans="2:28">
      <c r="B148" s="115"/>
      <c r="C148" s="94"/>
      <c r="D148" s="115"/>
      <c r="E148" s="115"/>
      <c r="F148" s="115"/>
      <c r="G148" s="114"/>
      <c r="H148" s="114"/>
      <c r="I148" s="115"/>
      <c r="J148" s="115"/>
      <c r="K148" s="131"/>
      <c r="L148" s="131"/>
      <c r="M148" s="131"/>
      <c r="N148" s="131"/>
      <c r="O148" s="131"/>
      <c r="P148" s="115"/>
      <c r="Q148" s="115"/>
      <c r="R148" s="115"/>
      <c r="S148" s="124"/>
      <c r="AB148" s="124"/>
    </row>
    <row r="149" spans="2:28">
      <c r="B149" s="115"/>
      <c r="C149" s="94"/>
      <c r="D149" s="115"/>
      <c r="E149" s="115"/>
      <c r="F149" s="115"/>
      <c r="G149" s="114"/>
      <c r="H149" s="114"/>
      <c r="I149" s="115"/>
      <c r="J149" s="115"/>
      <c r="K149" s="131"/>
      <c r="L149" s="131"/>
      <c r="M149" s="131"/>
      <c r="N149" s="131"/>
      <c r="O149" s="131"/>
      <c r="P149" s="115"/>
      <c r="Q149" s="115"/>
      <c r="R149" s="115"/>
      <c r="S149" s="124"/>
      <c r="AB149" s="124"/>
    </row>
    <row r="150" spans="2:28">
      <c r="B150" s="115"/>
      <c r="C150" s="115"/>
      <c r="D150" s="115"/>
      <c r="E150" s="115"/>
      <c r="F150" s="115"/>
      <c r="G150" s="115"/>
      <c r="H150" s="115"/>
      <c r="I150" s="115"/>
      <c r="J150" s="115"/>
      <c r="K150" s="131"/>
      <c r="L150" s="131"/>
      <c r="M150" s="131"/>
      <c r="N150" s="131"/>
      <c r="O150" s="131"/>
      <c r="P150" s="115"/>
      <c r="Q150" s="115"/>
      <c r="R150" s="115"/>
      <c r="S150" s="124"/>
      <c r="AB150" s="124"/>
    </row>
    <row r="151" spans="2:28">
      <c r="B151" s="115"/>
      <c r="C151" s="115"/>
      <c r="D151" s="115"/>
      <c r="E151" s="115"/>
      <c r="F151" s="115"/>
      <c r="G151" s="114"/>
      <c r="H151" s="114"/>
      <c r="I151" s="115"/>
      <c r="J151" s="115"/>
      <c r="K151" s="131"/>
      <c r="L151" s="131"/>
      <c r="M151" s="131"/>
      <c r="N151" s="131"/>
      <c r="O151" s="131"/>
      <c r="P151" s="115"/>
      <c r="Q151" s="115"/>
      <c r="R151" s="115"/>
      <c r="S151" s="124"/>
      <c r="AB151" s="124"/>
    </row>
    <row r="152" spans="2:28">
      <c r="B152" s="115"/>
      <c r="C152" s="115"/>
      <c r="D152" s="115"/>
      <c r="E152" s="115"/>
      <c r="F152" s="115"/>
      <c r="G152" s="114"/>
      <c r="H152" s="114"/>
      <c r="I152" s="115"/>
      <c r="J152" s="115"/>
      <c r="K152" s="131"/>
      <c r="L152" s="131"/>
      <c r="M152" s="131"/>
      <c r="N152" s="131"/>
      <c r="O152" s="131"/>
      <c r="P152" s="115"/>
      <c r="Q152" s="115"/>
      <c r="R152" s="115"/>
      <c r="S152" s="124"/>
      <c r="AB152" s="124"/>
    </row>
    <row r="153" spans="2:28">
      <c r="B153" s="115"/>
      <c r="C153" s="115"/>
      <c r="D153" s="115"/>
      <c r="E153" s="115"/>
      <c r="F153" s="115"/>
      <c r="G153" s="115"/>
      <c r="H153" s="115"/>
      <c r="I153" s="115"/>
      <c r="J153" s="115"/>
      <c r="K153" s="131"/>
      <c r="L153" s="131"/>
      <c r="M153" s="131"/>
      <c r="N153" s="131"/>
      <c r="O153" s="131"/>
      <c r="P153" s="115"/>
      <c r="Q153" s="115"/>
      <c r="R153" s="115"/>
      <c r="S153" s="124"/>
      <c r="AB153" s="124"/>
    </row>
    <row r="154" spans="2:28">
      <c r="B154" s="94"/>
      <c r="C154" s="115"/>
      <c r="D154" s="115"/>
      <c r="E154" s="115"/>
      <c r="F154" s="115"/>
      <c r="G154" s="114"/>
      <c r="H154" s="114"/>
      <c r="I154" s="115"/>
      <c r="J154" s="115"/>
      <c r="K154" s="131"/>
      <c r="L154" s="131"/>
      <c r="M154" s="131"/>
      <c r="N154" s="131"/>
      <c r="O154" s="131"/>
      <c r="P154" s="115"/>
      <c r="Q154" s="115"/>
      <c r="R154" s="115"/>
      <c r="S154" s="124"/>
      <c r="AB154" s="124"/>
    </row>
    <row r="155" spans="2:28">
      <c r="B155" s="94"/>
      <c r="G155" s="114"/>
      <c r="H155" s="114"/>
      <c r="I155" s="115"/>
      <c r="J155" s="115"/>
      <c r="K155" s="131"/>
      <c r="L155" s="131"/>
      <c r="M155" s="131"/>
      <c r="N155" s="131"/>
      <c r="O155" s="131"/>
      <c r="P155" s="115"/>
      <c r="Q155" s="115"/>
      <c r="R155" s="115"/>
      <c r="S155" s="124"/>
      <c r="AB155" s="124"/>
    </row>
    <row r="156" spans="2:28">
      <c r="B156" s="94"/>
    </row>
    <row r="157" spans="2:28">
      <c r="B157" s="94"/>
    </row>
    <row r="158" spans="2:28">
      <c r="B158" s="94"/>
    </row>
    <row r="159" spans="2:28">
      <c r="B159" s="94"/>
    </row>
    <row r="160" spans="2:28">
      <c r="B160" s="94"/>
    </row>
    <row r="161" spans="2:2">
      <c r="B161" s="94"/>
    </row>
    <row r="162" spans="2:2">
      <c r="B162" s="94"/>
    </row>
    <row r="163" spans="2:2">
      <c r="B163" s="94"/>
    </row>
    <row r="164" spans="2:2">
      <c r="B164" s="94"/>
    </row>
    <row r="165" spans="2:2">
      <c r="B165" s="94"/>
    </row>
    <row r="166" spans="2:2">
      <c r="B166" s="94"/>
    </row>
    <row r="167" spans="2:2">
      <c r="B167" s="94"/>
    </row>
    <row r="168" spans="2:2">
      <c r="B168" s="94"/>
    </row>
    <row r="169" spans="2:2">
      <c r="B169" s="94"/>
    </row>
    <row r="170" spans="2:2">
      <c r="B170" s="94"/>
    </row>
    <row r="171" spans="2:2">
      <c r="B171" s="94"/>
    </row>
    <row r="172" spans="2:2">
      <c r="B172" s="94"/>
    </row>
    <row r="173" spans="2:2">
      <c r="B173" s="94"/>
    </row>
    <row r="174" spans="2:2">
      <c r="B174" s="94"/>
    </row>
    <row r="175" spans="2:2">
      <c r="B175" s="94"/>
    </row>
    <row r="176" spans="2:2">
      <c r="B176" s="94"/>
    </row>
    <row r="177" spans="2:2">
      <c r="B177" s="94"/>
    </row>
    <row r="178" spans="2:2">
      <c r="B178" s="94"/>
    </row>
    <row r="179" spans="2:2">
      <c r="B179" s="94"/>
    </row>
    <row r="180" spans="2:2">
      <c r="B180" s="94"/>
    </row>
    <row r="181" spans="2:2">
      <c r="B181" s="115"/>
    </row>
    <row r="182" spans="2:2">
      <c r="B182" s="115"/>
    </row>
    <row r="183" spans="2:2">
      <c r="B183" s="115"/>
    </row>
    <row r="184" spans="2:2">
      <c r="B184" s="115"/>
    </row>
    <row r="185" spans="2:2">
      <c r="B185" s="115"/>
    </row>
    <row r="186" spans="2:2">
      <c r="B186" s="115"/>
    </row>
    <row r="187" spans="2:2">
      <c r="B187" s="115"/>
    </row>
    <row r="188" spans="2:2">
      <c r="B188" s="115"/>
    </row>
    <row r="189" spans="2:2">
      <c r="B189" s="115"/>
    </row>
    <row r="190" spans="2:2">
      <c r="B190" s="115"/>
    </row>
    <row r="191" spans="2:2">
      <c r="B191" s="115"/>
    </row>
    <row r="192" spans="2:2">
      <c r="B192" s="115"/>
    </row>
    <row r="193" spans="2:2">
      <c r="B193" s="115"/>
    </row>
    <row r="194" spans="2:2">
      <c r="B194" s="115"/>
    </row>
    <row r="195" spans="2:2">
      <c r="B195" s="115"/>
    </row>
    <row r="196" spans="2:2">
      <c r="B196" s="115"/>
    </row>
    <row r="197" spans="2:2">
      <c r="B197" s="115"/>
    </row>
    <row r="198" spans="2:2">
      <c r="B198" s="115"/>
    </row>
    <row r="199" spans="2:2">
      <c r="B199" s="115"/>
    </row>
    <row r="200" spans="2:2">
      <c r="B200" s="115"/>
    </row>
    <row r="201" spans="2:2">
      <c r="B201" s="115"/>
    </row>
    <row r="202" spans="2:2">
      <c r="B202" s="115"/>
    </row>
    <row r="203" spans="2:2">
      <c r="B203" s="115"/>
    </row>
    <row r="204" spans="2:2">
      <c r="B204" s="115"/>
    </row>
    <row r="205" spans="2:2">
      <c r="B205" s="115"/>
    </row>
    <row r="206" spans="2:2">
      <c r="B206" s="115"/>
    </row>
    <row r="207" spans="2:2">
      <c r="B207" s="115"/>
    </row>
    <row r="208" spans="2:2">
      <c r="B208" s="115"/>
    </row>
    <row r="209" spans="2:2">
      <c r="B209" s="115"/>
    </row>
    <row r="210" spans="2:2">
      <c r="B210" s="115"/>
    </row>
    <row r="211" spans="2:2">
      <c r="B211" s="115"/>
    </row>
    <row r="212" spans="2:2">
      <c r="B212" s="115"/>
    </row>
    <row r="213" spans="2:2">
      <c r="B213" s="115"/>
    </row>
    <row r="214" spans="2:2">
      <c r="B214" s="115"/>
    </row>
    <row r="215" spans="2:2">
      <c r="B215" s="115"/>
    </row>
    <row r="216" spans="2:2">
      <c r="B216" s="115"/>
    </row>
    <row r="217" spans="2:2">
      <c r="B217" s="115"/>
    </row>
    <row r="218" spans="2:2">
      <c r="B218" s="115"/>
    </row>
    <row r="219" spans="2:2">
      <c r="B219" s="115"/>
    </row>
    <row r="220" spans="2:2">
      <c r="B220" s="115"/>
    </row>
    <row r="221" spans="2:2">
      <c r="B221" s="115"/>
    </row>
    <row r="222" spans="2:2">
      <c r="B222" s="115"/>
    </row>
    <row r="223" spans="2:2">
      <c r="B223" s="115"/>
    </row>
    <row r="224" spans="2:2">
      <c r="B224" s="115"/>
    </row>
    <row r="225" spans="2:2">
      <c r="B225" s="115"/>
    </row>
    <row r="226" spans="2:2">
      <c r="B226" s="115"/>
    </row>
    <row r="227" spans="2:2">
      <c r="B227" s="115"/>
    </row>
    <row r="228" spans="2:2">
      <c r="B228" s="115"/>
    </row>
    <row r="229" spans="2:2">
      <c r="B229" s="115"/>
    </row>
    <row r="230" spans="2:2">
      <c r="B230" s="115"/>
    </row>
    <row r="231" spans="2:2">
      <c r="B231" s="115"/>
    </row>
    <row r="232" spans="2:2">
      <c r="B232" s="115"/>
    </row>
    <row r="233" spans="2:2">
      <c r="B233" s="115"/>
    </row>
    <row r="234" spans="2:2">
      <c r="B234" s="115"/>
    </row>
    <row r="235" spans="2:2">
      <c r="B235" s="94"/>
    </row>
    <row r="236" spans="2:2">
      <c r="B236" s="94"/>
    </row>
    <row r="237" spans="2:2">
      <c r="B237" s="94"/>
    </row>
    <row r="238" spans="2:2">
      <c r="B238" s="94"/>
    </row>
    <row r="239" spans="2:2">
      <c r="B239" s="94"/>
    </row>
    <row r="240" spans="2:2">
      <c r="B240" s="94"/>
    </row>
    <row r="241" spans="2:2">
      <c r="B241" s="94"/>
    </row>
    <row r="242" spans="2:2">
      <c r="B242" s="94"/>
    </row>
    <row r="243" spans="2:2">
      <c r="B243" s="94"/>
    </row>
    <row r="244" spans="2:2">
      <c r="B244" s="94"/>
    </row>
    <row r="245" spans="2:2">
      <c r="B245" s="94"/>
    </row>
    <row r="246" spans="2:2">
      <c r="B246" s="94"/>
    </row>
    <row r="247" spans="2:2">
      <c r="B247" s="94"/>
    </row>
    <row r="248" spans="2:2">
      <c r="B248" s="94"/>
    </row>
    <row r="249" spans="2:2">
      <c r="B249" s="94"/>
    </row>
    <row r="250" spans="2:2">
      <c r="B250" s="94"/>
    </row>
    <row r="251" spans="2:2">
      <c r="B251" s="94"/>
    </row>
    <row r="252" spans="2:2">
      <c r="B252" s="94"/>
    </row>
    <row r="253" spans="2:2">
      <c r="B253" s="94"/>
    </row>
    <row r="254" spans="2:2">
      <c r="B254" s="94"/>
    </row>
    <row r="255" spans="2:2">
      <c r="B255" s="94"/>
    </row>
    <row r="256" spans="2:2">
      <c r="B256" s="94"/>
    </row>
    <row r="257" spans="2:2">
      <c r="B257" s="94"/>
    </row>
    <row r="258" spans="2:2">
      <c r="B258" s="94"/>
    </row>
    <row r="259" spans="2:2">
      <c r="B259" s="94"/>
    </row>
    <row r="260" spans="2:2">
      <c r="B260" s="94"/>
    </row>
    <row r="261" spans="2:2">
      <c r="B261" s="94"/>
    </row>
    <row r="262" spans="2:2">
      <c r="B262" s="115"/>
    </row>
    <row r="263" spans="2:2">
      <c r="B263" s="115"/>
    </row>
    <row r="264" spans="2:2">
      <c r="B264" s="115"/>
    </row>
    <row r="265" spans="2:2">
      <c r="B265" s="115"/>
    </row>
    <row r="266" spans="2:2">
      <c r="B266" s="115"/>
    </row>
    <row r="267" spans="2:2">
      <c r="B267" s="115"/>
    </row>
    <row r="268" spans="2:2">
      <c r="B268" s="115"/>
    </row>
    <row r="269" spans="2:2">
      <c r="B269" s="115"/>
    </row>
    <row r="270" spans="2:2">
      <c r="B270" s="115"/>
    </row>
    <row r="271" spans="2:2">
      <c r="B271" s="115"/>
    </row>
    <row r="272" spans="2:2">
      <c r="B272" s="115"/>
    </row>
    <row r="273" spans="2:2">
      <c r="B273" s="115"/>
    </row>
    <row r="274" spans="2:2">
      <c r="B274" s="115"/>
    </row>
    <row r="275" spans="2:2">
      <c r="B275" s="115"/>
    </row>
    <row r="276" spans="2:2">
      <c r="B276" s="94"/>
    </row>
    <row r="277" spans="2:2">
      <c r="B277" s="94"/>
    </row>
    <row r="278" spans="2:2">
      <c r="B278" s="94"/>
    </row>
    <row r="279" spans="2:2">
      <c r="B279" s="115"/>
    </row>
    <row r="280" spans="2:2">
      <c r="B280" s="115"/>
    </row>
    <row r="281" spans="2:2">
      <c r="B281" s="115"/>
    </row>
    <row r="282" spans="2:2">
      <c r="B282" s="115"/>
    </row>
    <row r="283" spans="2:2">
      <c r="B283" s="115"/>
    </row>
    <row r="284" spans="2:2">
      <c r="B284" s="115"/>
    </row>
    <row r="285" spans="2:2">
      <c r="B285" s="94"/>
    </row>
    <row r="286" spans="2:2">
      <c r="B286" s="94"/>
    </row>
    <row r="287" spans="2:2">
      <c r="B287" s="94"/>
    </row>
    <row r="288" spans="2:2">
      <c r="B288" s="115"/>
    </row>
    <row r="289" spans="2:2">
      <c r="B289" s="115"/>
    </row>
    <row r="290" spans="2:2">
      <c r="B290" s="115"/>
    </row>
    <row r="291" spans="2:2">
      <c r="B291" s="115"/>
    </row>
    <row r="292" spans="2:2">
      <c r="B292" s="115"/>
    </row>
    <row r="293" spans="2:2">
      <c r="B293" s="115"/>
    </row>
    <row r="294" spans="2:2">
      <c r="B294" s="94"/>
    </row>
    <row r="295" spans="2:2">
      <c r="B295" s="94"/>
    </row>
    <row r="296" spans="2:2">
      <c r="B296" s="94"/>
    </row>
    <row r="297" spans="2:2">
      <c r="B297" s="115"/>
    </row>
    <row r="298" spans="2:2">
      <c r="B298" s="115"/>
    </row>
    <row r="299" spans="2:2">
      <c r="B299" s="115"/>
    </row>
    <row r="300" spans="2:2">
      <c r="B300" s="115"/>
    </row>
    <row r="301" spans="2:2">
      <c r="B301" s="115"/>
    </row>
    <row r="302" spans="2:2">
      <c r="B302" s="115"/>
    </row>
    <row r="303" spans="2:2">
      <c r="B303" s="94"/>
    </row>
    <row r="304" spans="2:2">
      <c r="B304" s="94"/>
    </row>
    <row r="305" spans="2:2">
      <c r="B305" s="94"/>
    </row>
    <row r="306" spans="2:2">
      <c r="B306" s="115"/>
    </row>
    <row r="307" spans="2:2">
      <c r="B307" s="115"/>
    </row>
    <row r="308" spans="2:2">
      <c r="B308" s="115"/>
    </row>
    <row r="309" spans="2:2">
      <c r="B309" s="115"/>
    </row>
    <row r="310" spans="2:2">
      <c r="B310" s="115"/>
    </row>
    <row r="311" spans="2:2">
      <c r="B311" s="115"/>
    </row>
    <row r="312" spans="2:2">
      <c r="B312" s="94"/>
    </row>
    <row r="313" spans="2:2">
      <c r="B313" s="94"/>
    </row>
    <row r="314" spans="2:2">
      <c r="B314" s="94"/>
    </row>
    <row r="315" spans="2:2">
      <c r="B315" s="115"/>
    </row>
    <row r="316" spans="2:2">
      <c r="B316" s="115"/>
    </row>
    <row r="317" spans="2:2">
      <c r="B317" s="115"/>
    </row>
    <row r="318" spans="2:2">
      <c r="B318" s="115"/>
    </row>
    <row r="319" spans="2:2">
      <c r="B319" s="115"/>
    </row>
    <row r="320" spans="2:2">
      <c r="B320" s="115"/>
    </row>
    <row r="321" spans="2:2">
      <c r="B321" s="94"/>
    </row>
    <row r="322" spans="2:2">
      <c r="B322" s="94"/>
    </row>
    <row r="323" spans="2:2">
      <c r="B323" s="94"/>
    </row>
    <row r="324" spans="2:2">
      <c r="B324" s="115"/>
    </row>
    <row r="325" spans="2:2">
      <c r="B325" s="115"/>
    </row>
    <row r="326" spans="2:2">
      <c r="B326" s="115"/>
    </row>
    <row r="327" spans="2:2">
      <c r="B327" s="115"/>
    </row>
    <row r="328" spans="2:2">
      <c r="B328" s="115"/>
    </row>
    <row r="329" spans="2:2">
      <c r="B329" s="115"/>
    </row>
    <row r="330" spans="2:2">
      <c r="B330" s="94"/>
    </row>
    <row r="331" spans="2:2">
      <c r="B331" s="94"/>
    </row>
    <row r="332" spans="2:2">
      <c r="B332" s="94"/>
    </row>
    <row r="333" spans="2:2">
      <c r="B333" s="115"/>
    </row>
    <row r="334" spans="2:2">
      <c r="B334" s="115"/>
    </row>
    <row r="335" spans="2:2">
      <c r="B335" s="115"/>
    </row>
    <row r="336" spans="2:2">
      <c r="B336" s="115"/>
    </row>
    <row r="337" spans="2:2">
      <c r="B337" s="115"/>
    </row>
    <row r="338" spans="2:2">
      <c r="B338" s="115"/>
    </row>
    <row r="339" spans="2:2">
      <c r="B339" s="94"/>
    </row>
    <row r="340" spans="2:2">
      <c r="B340" s="94"/>
    </row>
    <row r="341" spans="2:2">
      <c r="B341" s="94"/>
    </row>
    <row r="342" spans="2:2">
      <c r="B342" s="115"/>
    </row>
    <row r="343" spans="2:2">
      <c r="B343" s="115"/>
    </row>
    <row r="344" spans="2:2">
      <c r="B344" s="115"/>
    </row>
    <row r="345" spans="2:2">
      <c r="B345" s="115"/>
    </row>
    <row r="346" spans="2:2">
      <c r="B346" s="115"/>
    </row>
    <row r="347" spans="2:2">
      <c r="B347" s="115"/>
    </row>
    <row r="348" spans="2:2">
      <c r="B348" s="94"/>
    </row>
    <row r="349" spans="2:2">
      <c r="B349" s="94"/>
    </row>
    <row r="350" spans="2:2">
      <c r="B350" s="94"/>
    </row>
    <row r="351" spans="2:2">
      <c r="B351" s="115"/>
    </row>
    <row r="352" spans="2:2">
      <c r="B352" s="115"/>
    </row>
    <row r="353" spans="2:2">
      <c r="B353" s="115"/>
    </row>
    <row r="354" spans="2:2">
      <c r="B354" s="115"/>
    </row>
    <row r="355" spans="2:2">
      <c r="B355" s="115"/>
    </row>
    <row r="356" spans="2:2">
      <c r="B356" s="115"/>
    </row>
    <row r="357" spans="2:2">
      <c r="B357" s="94"/>
    </row>
    <row r="358" spans="2:2">
      <c r="B358" s="94"/>
    </row>
    <row r="359" spans="2:2">
      <c r="B359" s="94"/>
    </row>
    <row r="360" spans="2:2">
      <c r="B360" s="115"/>
    </row>
    <row r="361" spans="2:2">
      <c r="B361" s="115"/>
    </row>
    <row r="362" spans="2:2">
      <c r="B362" s="115"/>
    </row>
    <row r="363" spans="2:2">
      <c r="B363" s="115"/>
    </row>
    <row r="364" spans="2:2">
      <c r="B364" s="115"/>
    </row>
    <row r="365" spans="2:2">
      <c r="B365" s="115"/>
    </row>
    <row r="366" spans="2:2">
      <c r="B366" s="94"/>
    </row>
    <row r="367" spans="2:2">
      <c r="B367" s="94"/>
    </row>
    <row r="368" spans="2:2">
      <c r="B368" s="94"/>
    </row>
    <row r="369" spans="2:2">
      <c r="B369" s="115"/>
    </row>
    <row r="370" spans="2:2">
      <c r="B370" s="115"/>
    </row>
    <row r="371" spans="2:2">
      <c r="B371" s="115"/>
    </row>
    <row r="372" spans="2:2">
      <c r="B372" s="115"/>
    </row>
    <row r="373" spans="2:2">
      <c r="B373" s="115"/>
    </row>
    <row r="374" spans="2:2">
      <c r="B374" s="115"/>
    </row>
    <row r="375" spans="2:2">
      <c r="B375" s="94"/>
    </row>
    <row r="376" spans="2:2">
      <c r="B376" s="94"/>
    </row>
    <row r="377" spans="2:2">
      <c r="B377" s="94"/>
    </row>
    <row r="378" spans="2:2">
      <c r="B378" s="115"/>
    </row>
    <row r="379" spans="2:2">
      <c r="B379" s="115"/>
    </row>
    <row r="380" spans="2:2">
      <c r="B380" s="115"/>
    </row>
    <row r="381" spans="2:2">
      <c r="B381" s="115"/>
    </row>
    <row r="382" spans="2:2">
      <c r="B382" s="115"/>
    </row>
    <row r="383" spans="2:2">
      <c r="B383" s="115"/>
    </row>
    <row r="384" spans="2:2">
      <c r="B384" s="94"/>
    </row>
    <row r="385" spans="2:2">
      <c r="B385" s="94"/>
    </row>
    <row r="386" spans="2:2">
      <c r="B386" s="94"/>
    </row>
    <row r="387" spans="2:2">
      <c r="B387" s="115"/>
    </row>
    <row r="388" spans="2:2">
      <c r="B388" s="115"/>
    </row>
    <row r="389" spans="2:2">
      <c r="B389" s="115"/>
    </row>
    <row r="390" spans="2:2">
      <c r="B390" s="115"/>
    </row>
    <row r="391" spans="2:2">
      <c r="B391" s="115"/>
    </row>
    <row r="392" spans="2:2">
      <c r="B392" s="115"/>
    </row>
    <row r="393" spans="2:2">
      <c r="B393" s="94"/>
    </row>
    <row r="394" spans="2:2">
      <c r="B394" s="94"/>
    </row>
    <row r="395" spans="2:2">
      <c r="B395" s="94"/>
    </row>
    <row r="396" spans="2:2">
      <c r="B396" s="115"/>
    </row>
    <row r="397" spans="2:2">
      <c r="B397" s="115"/>
    </row>
    <row r="398" spans="2:2">
      <c r="B398" s="115"/>
    </row>
    <row r="399" spans="2:2">
      <c r="B399" s="115"/>
    </row>
    <row r="400" spans="2:2">
      <c r="B400" s="115"/>
    </row>
    <row r="401" spans="2:2">
      <c r="B401" s="115"/>
    </row>
    <row r="402" spans="2:2">
      <c r="B402" s="94"/>
    </row>
    <row r="403" spans="2:2">
      <c r="B403" s="94"/>
    </row>
    <row r="404" spans="2:2">
      <c r="B404" s="94"/>
    </row>
    <row r="405" spans="2:2">
      <c r="B405" s="115"/>
    </row>
    <row r="406" spans="2:2">
      <c r="B406" s="115"/>
    </row>
    <row r="407" spans="2:2">
      <c r="B407" s="115"/>
    </row>
    <row r="408" spans="2:2">
      <c r="B408" s="115"/>
    </row>
    <row r="409" spans="2:2">
      <c r="B409" s="115"/>
    </row>
    <row r="410" spans="2:2">
      <c r="B410" s="115"/>
    </row>
    <row r="411" spans="2:2">
      <c r="B411" s="94"/>
    </row>
    <row r="412" spans="2:2">
      <c r="B412" s="94"/>
    </row>
    <row r="413" spans="2:2">
      <c r="B413" s="94"/>
    </row>
    <row r="414" spans="2:2">
      <c r="B414" s="115"/>
    </row>
    <row r="415" spans="2:2">
      <c r="B415" s="115"/>
    </row>
    <row r="416" spans="2:2">
      <c r="B416" s="115"/>
    </row>
    <row r="417" spans="2:2">
      <c r="B417" s="115"/>
    </row>
    <row r="418" spans="2:2">
      <c r="B418" s="115"/>
    </row>
    <row r="419" spans="2:2">
      <c r="B419" s="115"/>
    </row>
    <row r="420" spans="2:2">
      <c r="B420" s="94"/>
    </row>
    <row r="421" spans="2:2">
      <c r="B421" s="94"/>
    </row>
    <row r="422" spans="2:2">
      <c r="B422" s="94"/>
    </row>
    <row r="423" spans="2:2">
      <c r="B423" s="115"/>
    </row>
    <row r="424" spans="2:2">
      <c r="B424" s="115"/>
    </row>
    <row r="425" spans="2:2">
      <c r="B425" s="115"/>
    </row>
    <row r="426" spans="2:2">
      <c r="B426" s="115"/>
    </row>
    <row r="427" spans="2:2">
      <c r="B427" s="115"/>
    </row>
    <row r="428" spans="2:2">
      <c r="B428" s="115"/>
    </row>
    <row r="429" spans="2:2">
      <c r="B429" s="94"/>
    </row>
    <row r="430" spans="2:2">
      <c r="B430" s="94"/>
    </row>
    <row r="431" spans="2:2">
      <c r="B431" s="94"/>
    </row>
    <row r="432" spans="2:2">
      <c r="B432" s="115"/>
    </row>
    <row r="433" spans="2:2">
      <c r="B433" s="115"/>
    </row>
    <row r="434" spans="2:2">
      <c r="B434" s="115"/>
    </row>
    <row r="435" spans="2:2">
      <c r="B435" s="115"/>
    </row>
    <row r="436" spans="2:2">
      <c r="B436" s="115"/>
    </row>
    <row r="437" spans="2:2">
      <c r="B437" s="115"/>
    </row>
    <row r="438" spans="2:2">
      <c r="B438" s="94"/>
    </row>
    <row r="439" spans="2:2">
      <c r="B439" s="94"/>
    </row>
    <row r="440" spans="2:2">
      <c r="B440" s="94"/>
    </row>
    <row r="441" spans="2:2">
      <c r="B441" s="115"/>
    </row>
    <row r="442" spans="2:2">
      <c r="B442" s="115"/>
    </row>
    <row r="443" spans="2:2">
      <c r="B443" s="115"/>
    </row>
    <row r="444" spans="2:2">
      <c r="B444" s="115"/>
    </row>
    <row r="445" spans="2:2">
      <c r="B445" s="115"/>
    </row>
    <row r="446" spans="2:2">
      <c r="B446" s="115"/>
    </row>
    <row r="447" spans="2:2">
      <c r="B447" s="94"/>
    </row>
    <row r="448" spans="2:2">
      <c r="B448" s="94"/>
    </row>
    <row r="449" spans="2:2">
      <c r="B449" s="94"/>
    </row>
    <row r="450" spans="2:2">
      <c r="B450" s="115"/>
    </row>
    <row r="451" spans="2:2">
      <c r="B451" s="115"/>
    </row>
    <row r="452" spans="2:2">
      <c r="B452" s="115"/>
    </row>
    <row r="453" spans="2:2">
      <c r="B453" s="115"/>
    </row>
    <row r="454" spans="2:2">
      <c r="B454" s="115"/>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AE65"/>
  <sheetViews>
    <sheetView topLeftCell="A29" workbookViewId="0">
      <selection activeCell="E64" sqref="E64"/>
    </sheetView>
  </sheetViews>
  <sheetFormatPr defaultRowHeight="14.4"/>
  <cols>
    <col min="1" max="1" width="8.88671875" style="134"/>
    <col min="2" max="2" width="20" bestFit="1" customWidth="1"/>
    <col min="3" max="3" width="60.44140625" bestFit="1" customWidth="1"/>
    <col min="5" max="5" width="11.44140625" bestFit="1" customWidth="1"/>
    <col min="6" max="6" width="11.44140625" style="134" customWidth="1"/>
    <col min="9" max="9" width="9.109375" style="134"/>
    <col min="15" max="15" width="10.88671875" customWidth="1"/>
    <col min="16" max="17" width="9.109375" style="134"/>
    <col min="21" max="21" width="10" bestFit="1" customWidth="1"/>
    <col min="24" max="24" width="11" bestFit="1" customWidth="1"/>
  </cols>
  <sheetData>
    <row r="1" spans="2:31" s="134" customFormat="1"/>
    <row r="2" spans="2:31" s="94" customFormat="1">
      <c r="B2" s="114"/>
      <c r="C2" s="114"/>
      <c r="D2" s="114"/>
      <c r="E2" s="114"/>
      <c r="F2" s="114"/>
      <c r="G2" s="4" t="s">
        <v>0</v>
      </c>
      <c r="H2" s="114"/>
      <c r="I2" s="114"/>
      <c r="J2" s="114"/>
      <c r="K2" s="65"/>
      <c r="L2" s="114"/>
      <c r="R2" s="41"/>
      <c r="S2" s="41"/>
    </row>
    <row r="3" spans="2:31" s="94" customFormat="1">
      <c r="B3" s="5" t="s">
        <v>1</v>
      </c>
      <c r="C3" s="5" t="s">
        <v>2</v>
      </c>
      <c r="D3" s="5" t="s">
        <v>3</v>
      </c>
      <c r="E3" s="6" t="s">
        <v>4</v>
      </c>
      <c r="F3" s="243" t="s">
        <v>681</v>
      </c>
      <c r="G3" s="5" t="s">
        <v>5</v>
      </c>
      <c r="H3" s="5" t="s">
        <v>6</v>
      </c>
      <c r="I3" s="242" t="s">
        <v>7</v>
      </c>
      <c r="J3" s="5" t="s">
        <v>11</v>
      </c>
      <c r="K3" s="67" t="s">
        <v>12</v>
      </c>
      <c r="L3" s="5" t="s">
        <v>19</v>
      </c>
      <c r="M3" s="5" t="s">
        <v>8</v>
      </c>
      <c r="N3" s="5" t="s">
        <v>9</v>
      </c>
      <c r="O3" s="5" t="s">
        <v>632</v>
      </c>
      <c r="P3" s="175"/>
      <c r="Q3" s="175"/>
      <c r="R3" s="41"/>
      <c r="S3" s="41"/>
      <c r="T3" s="41"/>
      <c r="U3" s="41"/>
      <c r="V3" s="41"/>
      <c r="W3" s="41"/>
      <c r="X3" s="41"/>
      <c r="Y3" s="41"/>
      <c r="Z3" s="41"/>
      <c r="AA3" s="41"/>
      <c r="AB3" s="41"/>
      <c r="AC3" s="41"/>
      <c r="AD3" s="41"/>
    </row>
    <row r="4" spans="2:31" s="3" customFormat="1" ht="87" customHeight="1">
      <c r="B4" s="7" t="s">
        <v>13</v>
      </c>
      <c r="C4" s="7"/>
      <c r="D4" s="7" t="s">
        <v>67</v>
      </c>
      <c r="E4" s="8" t="s">
        <v>68</v>
      </c>
      <c r="F4" s="7"/>
      <c r="G4" s="7"/>
      <c r="H4" s="7" t="s">
        <v>66</v>
      </c>
      <c r="I4" s="7"/>
      <c r="J4" s="7" t="s">
        <v>60</v>
      </c>
      <c r="K4" s="68" t="s">
        <v>61</v>
      </c>
      <c r="L4" s="7" t="s">
        <v>62</v>
      </c>
      <c r="M4" s="7" t="s">
        <v>425</v>
      </c>
      <c r="N4" s="7" t="s">
        <v>426</v>
      </c>
      <c r="O4" s="7"/>
      <c r="P4" s="216"/>
      <c r="Q4" s="216"/>
      <c r="R4" s="214" t="s">
        <v>629</v>
      </c>
      <c r="S4" s="41"/>
      <c r="T4" s="179"/>
      <c r="U4" s="41"/>
      <c r="V4" s="41"/>
      <c r="W4" s="41"/>
      <c r="X4" s="41"/>
      <c r="Y4" s="41"/>
      <c r="Z4" s="41"/>
      <c r="AA4" s="41"/>
      <c r="AB4" s="41"/>
      <c r="AC4" s="41"/>
      <c r="AD4" s="41"/>
      <c r="AE4" s="41"/>
    </row>
    <row r="5" spans="2:31" s="94" customFormat="1" ht="15" thickBot="1">
      <c r="B5" s="9" t="s">
        <v>14</v>
      </c>
      <c r="C5" s="10"/>
      <c r="D5" s="10"/>
      <c r="E5" s="11"/>
      <c r="F5" s="81" t="s">
        <v>682</v>
      </c>
      <c r="G5" s="10"/>
      <c r="H5" s="10"/>
      <c r="I5" s="10"/>
      <c r="J5" s="10" t="s">
        <v>15</v>
      </c>
      <c r="K5" s="69" t="s">
        <v>15</v>
      </c>
      <c r="L5" s="10" t="s">
        <v>16</v>
      </c>
      <c r="M5" s="10" t="s">
        <v>428</v>
      </c>
      <c r="N5" s="10" t="s">
        <v>427</v>
      </c>
      <c r="O5" s="10" t="s">
        <v>633</v>
      </c>
      <c r="P5" s="217"/>
      <c r="Q5" s="217"/>
      <c r="R5" s="41"/>
      <c r="S5" s="41"/>
      <c r="T5" s="41"/>
      <c r="U5" s="41"/>
      <c r="V5" s="41"/>
      <c r="W5" s="41"/>
      <c r="X5" s="41"/>
      <c r="Y5" s="41"/>
      <c r="Z5" s="41"/>
      <c r="AA5" s="41"/>
      <c r="AB5" s="41"/>
      <c r="AC5" s="41"/>
      <c r="AD5" s="41"/>
    </row>
    <row r="6" spans="2:31" s="94" customFormat="1">
      <c r="B6" s="114" t="str">
        <f>ELC_CCS_Processes!C55</f>
        <v>CSTRAPDK1DTS</v>
      </c>
      <c r="C6" s="114" t="str">
        <f>ELC_CCS_Processes!D55</f>
        <v>Transport technology by pipeline from DK1 to DTS</v>
      </c>
      <c r="D6" s="114" t="s">
        <v>357</v>
      </c>
      <c r="E6" s="114" t="str">
        <f t="shared" ref="E6:E11" si="0">"CO2STO"&amp;RIGHT(B6,3)</f>
        <v>CO2STODTS</v>
      </c>
      <c r="F6" s="244" t="s">
        <v>683</v>
      </c>
      <c r="G6" s="114">
        <v>2020</v>
      </c>
      <c r="H6" s="114">
        <v>2020</v>
      </c>
      <c r="I6" s="171">
        <v>1</v>
      </c>
      <c r="J6" s="71">
        <v>1</v>
      </c>
      <c r="K6" s="70">
        <v>0.85</v>
      </c>
      <c r="L6" s="94">
        <v>40</v>
      </c>
      <c r="M6" s="41">
        <f>IF(RIGHT(E6)="S",$U$17,$U$18)*'Data_Dist_&amp;_CAP'!H13*7.45/$T$25</f>
        <v>9.3624540940073539E-2</v>
      </c>
      <c r="N6" s="94">
        <f>M6*0.01</f>
        <v>9.3624540940073536E-4</v>
      </c>
      <c r="O6" s="41"/>
      <c r="P6" s="41"/>
      <c r="Q6" s="41"/>
      <c r="R6" s="114">
        <f>-1*PMT(4%,40,M6*1000)+M6*0.01*1000</f>
        <v>5.6664839040904722</v>
      </c>
      <c r="S6" s="213"/>
      <c r="T6" s="41"/>
      <c r="U6" s="41"/>
      <c r="AC6" s="41"/>
      <c r="AD6" s="41"/>
    </row>
    <row r="7" spans="2:31" s="94" customFormat="1">
      <c r="B7" s="114" t="str">
        <f>ELC_CCS_Processes!C56</f>
        <v>CSTRAPDK1DGS</v>
      </c>
      <c r="C7" s="114" t="str">
        <f>ELC_CCS_Processes!D56</f>
        <v>Transport technology by pipeline from DK1 to DGS</v>
      </c>
      <c r="D7" s="114" t="s">
        <v>357</v>
      </c>
      <c r="E7" s="114" t="str">
        <f t="shared" si="0"/>
        <v>CO2STODGS</v>
      </c>
      <c r="F7" s="244" t="s">
        <v>683</v>
      </c>
      <c r="G7" s="114">
        <v>2020</v>
      </c>
      <c r="H7" s="114">
        <v>2020</v>
      </c>
      <c r="I7" s="171">
        <v>1</v>
      </c>
      <c r="J7" s="71">
        <v>1</v>
      </c>
      <c r="K7" s="70">
        <v>0.85</v>
      </c>
      <c r="L7" s="94">
        <v>40</v>
      </c>
      <c r="M7" s="41">
        <f>IF(RIGHT(E7)="S",$U$17,$U$18)*'Data_Dist_&amp;_CAP'!H14*7.45/$T$25</f>
        <v>7.6069939513809734E-2</v>
      </c>
      <c r="N7" s="94">
        <f t="shared" ref="N7:N34" si="1">M7*0.01</f>
        <v>7.6069939513809736E-4</v>
      </c>
      <c r="O7" s="41"/>
      <c r="P7" s="41"/>
      <c r="Q7" s="41"/>
      <c r="R7" s="114">
        <f t="shared" ref="R7:R34" si="2">-1*PMT(4%,40,M7*1000)+M7*0.01*1000</f>
        <v>4.6040181720735074</v>
      </c>
      <c r="S7" s="213"/>
      <c r="T7" s="134"/>
      <c r="U7" s="134"/>
      <c r="V7" s="134"/>
      <c r="W7" s="134"/>
      <c r="X7" s="134"/>
      <c r="Y7" s="134"/>
      <c r="Z7" s="134"/>
      <c r="AA7" s="41"/>
      <c r="AB7" s="41"/>
      <c r="AC7" s="41"/>
      <c r="AD7" s="41"/>
    </row>
    <row r="8" spans="2:31" s="94" customFormat="1">
      <c r="B8" s="114" t="str">
        <f>ELC_CCS_Processes!C57</f>
        <v>CSTRAPDK1DGA</v>
      </c>
      <c r="C8" s="114" t="str">
        <f>ELC_CCS_Processes!D57</f>
        <v>Transport technology by pipeline from DK1 to DGA</v>
      </c>
      <c r="D8" s="114" t="s">
        <v>357</v>
      </c>
      <c r="E8" s="114" t="str">
        <f t="shared" si="0"/>
        <v>CO2STODGA</v>
      </c>
      <c r="F8" s="244" t="s">
        <v>683</v>
      </c>
      <c r="G8" s="114">
        <v>2020</v>
      </c>
      <c r="H8" s="114">
        <v>2020</v>
      </c>
      <c r="I8" s="171">
        <v>1</v>
      </c>
      <c r="J8" s="71">
        <v>1</v>
      </c>
      <c r="K8" s="70">
        <v>0.85</v>
      </c>
      <c r="L8" s="94">
        <v>40</v>
      </c>
      <c r="M8" s="41">
        <f>IF(RIGHT(E8)="S",$U$17,$U$18)*'Data_Dist_&amp;_CAP'!H15*7.45/$T$25</f>
        <v>0.1404368114101103</v>
      </c>
      <c r="N8" s="94">
        <f t="shared" si="1"/>
        <v>1.4043681141011029E-3</v>
      </c>
      <c r="O8" s="41"/>
      <c r="P8" s="41"/>
      <c r="Q8" s="41"/>
      <c r="R8" s="114">
        <f t="shared" si="2"/>
        <v>8.4997258561357079</v>
      </c>
      <c r="S8" s="213"/>
      <c r="T8" s="134"/>
      <c r="U8" s="134"/>
      <c r="V8" s="134"/>
      <c r="W8" s="134"/>
      <c r="X8" s="134"/>
      <c r="Y8" s="134"/>
      <c r="Z8" s="134"/>
      <c r="AA8" s="41"/>
      <c r="AB8" s="41"/>
      <c r="AC8" s="41"/>
      <c r="AD8" s="41"/>
    </row>
    <row r="9" spans="2:31" s="94" customFormat="1">
      <c r="B9" s="114" t="str">
        <f>ELC_CCS_Processes!C58</f>
        <v>CSTRAPDK1NSF</v>
      </c>
      <c r="C9" s="114" t="str">
        <f>ELC_CCS_Processes!D58</f>
        <v>Transport technology by pipeline from DK1 to NSF</v>
      </c>
      <c r="D9" s="114" t="s">
        <v>357</v>
      </c>
      <c r="E9" s="114" t="str">
        <f t="shared" si="0"/>
        <v>CO2STONSF</v>
      </c>
      <c r="F9" s="244" t="s">
        <v>683</v>
      </c>
      <c r="G9" s="114">
        <v>2020</v>
      </c>
      <c r="H9" s="114">
        <v>2020</v>
      </c>
      <c r="I9" s="171">
        <v>1</v>
      </c>
      <c r="J9" s="71">
        <v>1</v>
      </c>
      <c r="K9" s="70">
        <v>0.85</v>
      </c>
      <c r="L9" s="94">
        <v>40</v>
      </c>
      <c r="M9" s="41">
        <f>IF(RIGHT(E9)="S",$U$17,$U$18)*'Data_Dist_&amp;_CAP'!H16*7.45/$T$25</f>
        <v>0.70218405705055142</v>
      </c>
      <c r="N9" s="94">
        <f t="shared" si="1"/>
        <v>7.021840570505514E-3</v>
      </c>
      <c r="O9" s="41"/>
      <c r="P9" s="41"/>
      <c r="Q9" s="41"/>
      <c r="R9" s="114">
        <f t="shared" si="2"/>
        <v>42.498629280678543</v>
      </c>
      <c r="S9" s="213"/>
      <c r="T9" s="215" t="s">
        <v>409</v>
      </c>
      <c r="U9" s="134"/>
      <c r="V9" s="134"/>
      <c r="W9" s="134"/>
      <c r="X9" s="134"/>
      <c r="Y9" s="134"/>
      <c r="Z9" s="134"/>
      <c r="AA9" s="41"/>
      <c r="AB9" s="41"/>
      <c r="AC9" s="41"/>
      <c r="AD9" s="41"/>
    </row>
    <row r="10" spans="2:31" s="94" customFormat="1">
      <c r="B10" s="114" t="str">
        <f>ELC_CCS_Processes!C59</f>
        <v>CSTRAPDK1DHF</v>
      </c>
      <c r="C10" s="114" t="str">
        <f>ELC_CCS_Processes!D59</f>
        <v>Transport technology by pipeline from DK1 to DHF</v>
      </c>
      <c r="D10" s="114" t="s">
        <v>357</v>
      </c>
      <c r="E10" s="114" t="str">
        <f t="shared" si="0"/>
        <v>CO2STODHF</v>
      </c>
      <c r="F10" s="244" t="s">
        <v>683</v>
      </c>
      <c r="G10" s="114">
        <v>2020</v>
      </c>
      <c r="H10" s="114">
        <v>2020</v>
      </c>
      <c r="I10" s="171">
        <v>1</v>
      </c>
      <c r="J10" s="71">
        <v>1</v>
      </c>
      <c r="K10" s="70">
        <v>0.85</v>
      </c>
      <c r="L10" s="94">
        <v>40</v>
      </c>
      <c r="M10" s="41">
        <f>IF(RIGHT(E10)="S",$U$17,$U$18)*'Data_Dist_&amp;_CAP'!H17*7.45/$T$25</f>
        <v>0.2808736228202206</v>
      </c>
      <c r="N10" s="94">
        <f t="shared" ref="N10" si="3">M10*0.01</f>
        <v>2.8087362282022059E-3</v>
      </c>
      <c r="O10" s="41"/>
      <c r="P10" s="41"/>
      <c r="Q10" s="41"/>
      <c r="R10" s="114">
        <f t="shared" ref="R10" si="4">-1*PMT(4%,40,M10*1000)+M10*0.01*1000</f>
        <v>16.999451712271416</v>
      </c>
      <c r="S10" s="213"/>
      <c r="T10" s="134"/>
      <c r="U10" s="134"/>
      <c r="V10" s="134"/>
      <c r="W10" s="134"/>
      <c r="X10" s="134"/>
      <c r="Y10" s="134"/>
      <c r="Z10" s="134"/>
      <c r="AA10" s="41"/>
      <c r="AB10" s="41"/>
      <c r="AC10" s="41"/>
      <c r="AD10" s="41"/>
    </row>
    <row r="11" spans="2:31" s="94" customFormat="1">
      <c r="B11" s="114" t="str">
        <f>ELC_CCS_Processes!C60</f>
        <v>CSTRAPDK2DZS</v>
      </c>
      <c r="C11" s="114" t="str">
        <f>ELC_CCS_Processes!D60</f>
        <v>Transport technology by pipeline from DK2 to DZS</v>
      </c>
      <c r="D11" s="114" t="s">
        <v>357</v>
      </c>
      <c r="E11" s="114" t="str">
        <f t="shared" si="0"/>
        <v>CO2STODZS</v>
      </c>
      <c r="F11" s="244" t="s">
        <v>683</v>
      </c>
      <c r="G11" s="114">
        <v>2020</v>
      </c>
      <c r="H11" s="114">
        <v>2020</v>
      </c>
      <c r="I11" s="171">
        <v>1</v>
      </c>
      <c r="J11" s="71">
        <v>1</v>
      </c>
      <c r="K11" s="70">
        <v>0.85</v>
      </c>
      <c r="L11" s="94">
        <v>40</v>
      </c>
      <c r="M11" s="41">
        <f>IF(RIGHT(E11)="S",$U$17,$U$18)*'Data_Dist_&amp;_CAP'!H18*7.45/$T$25</f>
        <v>7.0218405705055151E-2</v>
      </c>
      <c r="N11" s="94">
        <f t="shared" si="1"/>
        <v>7.0218405705055147E-4</v>
      </c>
      <c r="O11" s="41"/>
      <c r="P11" s="41"/>
      <c r="Q11" s="41"/>
      <c r="R11" s="114">
        <f t="shared" si="2"/>
        <v>4.2498629280678539</v>
      </c>
      <c r="S11" s="213"/>
      <c r="T11" s="134" t="s">
        <v>410</v>
      </c>
      <c r="U11" s="134"/>
      <c r="V11" s="134"/>
      <c r="W11" s="134"/>
      <c r="X11" s="134"/>
      <c r="Y11" s="134"/>
      <c r="Z11" s="134"/>
      <c r="AA11" s="41"/>
      <c r="AB11" s="41"/>
      <c r="AC11" s="41"/>
      <c r="AD11" s="41"/>
    </row>
    <row r="12" spans="2:31" s="94" customFormat="1">
      <c r="B12" s="114" t="str">
        <f>ELC_CCS_Processes!C61</f>
        <v>CSTRAPDK2NSF</v>
      </c>
      <c r="C12" s="114" t="str">
        <f>ELC_CCS_Processes!D61</f>
        <v>Transport technology by pipeline from DK2 to NSF</v>
      </c>
      <c r="D12" s="114" t="s">
        <v>357</v>
      </c>
      <c r="E12" s="114" t="str">
        <f t="shared" ref="E12:E63" si="5">"CO2STO"&amp;RIGHT(B12,3)</f>
        <v>CO2STONSF</v>
      </c>
      <c r="F12" s="244" t="s">
        <v>683</v>
      </c>
      <c r="G12" s="114">
        <v>2020</v>
      </c>
      <c r="H12" s="114">
        <v>2020</v>
      </c>
      <c r="I12" s="171">
        <v>1</v>
      </c>
      <c r="J12" s="71">
        <v>1</v>
      </c>
      <c r="K12" s="70">
        <v>0.85</v>
      </c>
      <c r="L12" s="94">
        <v>40</v>
      </c>
      <c r="M12" s="41">
        <f>IF(RIGHT(E12)="S",$U$17,$U$18)*'Data_Dist_&amp;_CAP'!H19*7.45/$T$25</f>
        <v>1.2639313026909926</v>
      </c>
      <c r="N12" s="94">
        <f t="shared" si="1"/>
        <v>1.2639313026909927E-2</v>
      </c>
      <c r="O12" s="41"/>
      <c r="P12" s="41"/>
      <c r="Q12" s="41"/>
      <c r="R12" s="114">
        <f t="shared" si="2"/>
        <v>76.497532705221374</v>
      </c>
      <c r="S12" s="213"/>
      <c r="T12" s="134" t="s">
        <v>411</v>
      </c>
      <c r="U12" s="134"/>
      <c r="V12" s="134"/>
      <c r="W12" s="134"/>
      <c r="X12" s="134"/>
      <c r="Y12" s="134"/>
      <c r="Z12" s="134"/>
      <c r="AA12" s="41"/>
      <c r="AB12" s="41"/>
      <c r="AC12" s="41"/>
      <c r="AD12" s="41"/>
    </row>
    <row r="13" spans="2:31" s="94" customFormat="1">
      <c r="B13" s="114" t="str">
        <f>ELC_CCS_Processes!C62</f>
        <v>CSTRAPDK2SAA</v>
      </c>
      <c r="C13" s="114" t="str">
        <f>ELC_CCS_Processes!D62</f>
        <v>Transport technology by pipeline from DK2 to SAA</v>
      </c>
      <c r="D13" s="114" t="s">
        <v>357</v>
      </c>
      <c r="E13" s="114" t="str">
        <f t="shared" si="5"/>
        <v>CO2STOSAA</v>
      </c>
      <c r="F13" s="244" t="s">
        <v>683</v>
      </c>
      <c r="G13" s="114">
        <v>2020</v>
      </c>
      <c r="H13" s="114">
        <v>2020</v>
      </c>
      <c r="I13" s="171">
        <v>1</v>
      </c>
      <c r="J13" s="71">
        <v>1</v>
      </c>
      <c r="K13" s="70">
        <v>0.85</v>
      </c>
      <c r="L13" s="94">
        <v>40</v>
      </c>
      <c r="M13" s="41">
        <f>IF(RIGHT(E13)="S",$U$17,$U$18)*'Data_Dist_&amp;_CAP'!H20*7.45/$T$25</f>
        <v>5.6174724564044119E-2</v>
      </c>
      <c r="N13" s="94">
        <f t="shared" si="1"/>
        <v>5.6174724564044118E-4</v>
      </c>
      <c r="O13" s="41"/>
      <c r="P13" s="41"/>
      <c r="Q13" s="41"/>
      <c r="R13" s="114">
        <f t="shared" si="2"/>
        <v>3.3998903424542832</v>
      </c>
      <c r="S13" s="213"/>
      <c r="T13" s="134" t="s">
        <v>412</v>
      </c>
      <c r="U13" s="134"/>
      <c r="V13" s="134"/>
      <c r="W13" s="134"/>
      <c r="X13" s="134"/>
      <c r="Y13" s="134"/>
      <c r="Z13" s="134"/>
      <c r="AA13" s="41"/>
      <c r="AB13" s="41"/>
      <c r="AC13" s="41"/>
      <c r="AD13" s="41"/>
    </row>
    <row r="14" spans="2:31" s="94" customFormat="1">
      <c r="B14" s="114" t="str">
        <f>ELC_CCS_Processes!C63</f>
        <v>CSTRAPDK2DHF</v>
      </c>
      <c r="C14" s="114" t="str">
        <f>ELC_CCS_Processes!D63</f>
        <v>Transport technology by pipeline from DK2 to DHF</v>
      </c>
      <c r="D14" s="114" t="s">
        <v>357</v>
      </c>
      <c r="E14" s="114" t="str">
        <f>"CO2STO"&amp;RIGHT(B14,3)</f>
        <v>CO2STODHF</v>
      </c>
      <c r="F14" s="244" t="s">
        <v>683</v>
      </c>
      <c r="G14" s="114">
        <v>2020</v>
      </c>
      <c r="H14" s="114">
        <v>2020</v>
      </c>
      <c r="I14" s="171">
        <v>1</v>
      </c>
      <c r="J14" s="71">
        <v>1</v>
      </c>
      <c r="K14" s="70">
        <v>0.85</v>
      </c>
      <c r="L14" s="94">
        <v>40</v>
      </c>
      <c r="M14" s="41">
        <f>IF(RIGHT(E14)="S",$U$17,$U$18)*'Data_Dist_&amp;_CAP'!H21*7.45/$T$25</f>
        <v>0.56174724564044121</v>
      </c>
      <c r="N14" s="94">
        <f t="shared" si="1"/>
        <v>5.6174724564044118E-3</v>
      </c>
      <c r="O14" s="41"/>
      <c r="P14" s="41"/>
      <c r="Q14" s="41"/>
      <c r="R14" s="114">
        <f t="shared" si="2"/>
        <v>33.998903424542831</v>
      </c>
      <c r="S14" s="213"/>
      <c r="T14" s="134"/>
      <c r="U14" s="134">
        <v>300</v>
      </c>
      <c r="V14" s="134" t="s">
        <v>413</v>
      </c>
      <c r="W14" s="134"/>
      <c r="X14" s="134"/>
      <c r="Y14" s="134"/>
      <c r="Z14" s="134"/>
      <c r="AA14" s="41"/>
      <c r="AB14" s="41"/>
      <c r="AC14" s="41"/>
      <c r="AD14" s="41"/>
    </row>
    <row r="15" spans="2:31" s="94" customFormat="1">
      <c r="B15" s="114" t="str">
        <f>ELC_CCS_Processes!C64</f>
        <v>CSTRAPSE1SFA</v>
      </c>
      <c r="C15" s="114" t="str">
        <f>ELC_CCS_Processes!D64</f>
        <v>Transport technology by pipeline from SE1 to SFA</v>
      </c>
      <c r="D15" s="114" t="s">
        <v>357</v>
      </c>
      <c r="E15" s="114" t="str">
        <f t="shared" si="5"/>
        <v>CO2STOSFA</v>
      </c>
      <c r="F15" s="244" t="s">
        <v>683</v>
      </c>
      <c r="G15" s="114">
        <v>2020</v>
      </c>
      <c r="H15" s="114">
        <v>2020</v>
      </c>
      <c r="I15" s="171">
        <v>1</v>
      </c>
      <c r="J15" s="71">
        <v>1</v>
      </c>
      <c r="K15" s="70">
        <v>0.85</v>
      </c>
      <c r="L15" s="94">
        <v>40</v>
      </c>
      <c r="M15" s="41">
        <f>IF(RIGHT(E15)="S",$U$17,$U$18)*'Data_Dist_&amp;_CAP'!H22*7.45/$T$25</f>
        <v>1.4886302009471692</v>
      </c>
      <c r="N15" s="94">
        <f t="shared" si="1"/>
        <v>1.4886302009471693E-2</v>
      </c>
      <c r="O15" s="41"/>
      <c r="P15" s="41"/>
      <c r="Q15" s="41"/>
      <c r="R15" s="114">
        <f t="shared" si="2"/>
        <v>90.097094075038498</v>
      </c>
      <c r="S15" s="213"/>
      <c r="T15" s="134"/>
      <c r="U15" s="134">
        <v>400</v>
      </c>
      <c r="V15" s="134" t="s">
        <v>414</v>
      </c>
      <c r="W15" s="134"/>
      <c r="X15" s="134"/>
      <c r="Y15" s="134"/>
      <c r="Z15" s="134"/>
      <c r="AA15" s="41"/>
      <c r="AB15" s="41"/>
      <c r="AC15" s="41"/>
      <c r="AD15" s="41"/>
    </row>
    <row r="16" spans="2:31" s="94" customFormat="1">
      <c r="B16" s="114" t="str">
        <f>ELC_CCS_Processes!C65</f>
        <v>CSTRAPSE1NSF</v>
      </c>
      <c r="C16" s="114" t="str">
        <f>ELC_CCS_Processes!D65</f>
        <v>Transport technology by pipeline from SE1 to NSF</v>
      </c>
      <c r="D16" s="114" t="s">
        <v>357</v>
      </c>
      <c r="E16" s="114" t="str">
        <f t="shared" si="5"/>
        <v>CO2STONSF</v>
      </c>
      <c r="F16" s="244" t="s">
        <v>683</v>
      </c>
      <c r="G16" s="114">
        <v>2020</v>
      </c>
      <c r="H16" s="114">
        <v>2020</v>
      </c>
      <c r="I16" s="171">
        <v>1</v>
      </c>
      <c r="J16" s="71">
        <v>1</v>
      </c>
      <c r="K16" s="70">
        <v>0.85</v>
      </c>
      <c r="L16" s="94">
        <v>40</v>
      </c>
      <c r="M16" s="41">
        <f>IF(RIGHT(E16)="S",$U$17,$U$18)*'Data_Dist_&amp;_CAP'!H23*7.45/$T$25</f>
        <v>3.370483473842647</v>
      </c>
      <c r="N16" s="94">
        <f t="shared" si="1"/>
        <v>3.3704834738426469E-2</v>
      </c>
      <c r="O16" s="41"/>
      <c r="P16" s="41"/>
      <c r="Q16" s="41"/>
      <c r="R16" s="114">
        <f t="shared" si="2"/>
        <v>203.99342054725696</v>
      </c>
      <c r="S16" s="213"/>
      <c r="T16" s="134" t="s">
        <v>415</v>
      </c>
      <c r="U16" s="134"/>
      <c r="V16" s="134"/>
      <c r="W16" s="134"/>
      <c r="X16" s="134"/>
      <c r="Y16" s="134"/>
      <c r="Z16" s="134"/>
      <c r="AA16" s="41"/>
      <c r="AB16" s="41"/>
      <c r="AC16" s="41"/>
      <c r="AD16" s="41"/>
    </row>
    <row r="17" spans="2:30" s="94" customFormat="1">
      <c r="B17" s="114" t="str">
        <f>ELC_CCS_Processes!C66</f>
        <v>CSTRAPSE2SFA</v>
      </c>
      <c r="C17" s="114" t="str">
        <f>ELC_CCS_Processes!D66</f>
        <v>Transport technology by pipeline from SE2 to SFA</v>
      </c>
      <c r="D17" s="114" t="s">
        <v>357</v>
      </c>
      <c r="E17" s="114" t="str">
        <f t="shared" si="5"/>
        <v>CO2STOSFA</v>
      </c>
      <c r="F17" s="244" t="s">
        <v>683</v>
      </c>
      <c r="G17" s="114">
        <v>2020</v>
      </c>
      <c r="H17" s="114">
        <v>2020</v>
      </c>
      <c r="I17" s="171">
        <v>1</v>
      </c>
      <c r="J17" s="71">
        <v>1</v>
      </c>
      <c r="K17" s="70">
        <v>0.85</v>
      </c>
      <c r="L17" s="94">
        <v>40</v>
      </c>
      <c r="M17" s="41">
        <f>IF(RIGHT(E17)="S",$U$17,$U$18)*'Data_Dist_&amp;_CAP'!H24*7.45/$T$25</f>
        <v>1.0251887232938051</v>
      </c>
      <c r="N17" s="94">
        <f t="shared" si="1"/>
        <v>1.025188723293805E-2</v>
      </c>
      <c r="O17" s="41"/>
      <c r="P17" s="41"/>
      <c r="Q17" s="41"/>
      <c r="R17" s="114">
        <f t="shared" si="2"/>
        <v>62.047998749790658</v>
      </c>
      <c r="S17" s="213"/>
      <c r="T17" s="134"/>
      <c r="U17" s="134">
        <v>1.3</v>
      </c>
      <c r="V17" s="134" t="s">
        <v>416</v>
      </c>
      <c r="W17" s="134"/>
      <c r="X17" s="134"/>
      <c r="Y17" s="134"/>
      <c r="Z17" s="134"/>
      <c r="AA17" s="41"/>
      <c r="AB17" s="41"/>
      <c r="AC17" s="41"/>
      <c r="AD17" s="41"/>
    </row>
    <row r="18" spans="2:30" s="94" customFormat="1">
      <c r="B18" s="114" t="str">
        <f>ELC_CCS_Processes!C67</f>
        <v>CSTRAPSE2NSF</v>
      </c>
      <c r="C18" s="114" t="str">
        <f>ELC_CCS_Processes!D67</f>
        <v>Transport technology by pipeline from SE2 to NSF</v>
      </c>
      <c r="D18" s="114" t="s">
        <v>357</v>
      </c>
      <c r="E18" s="114" t="str">
        <f t="shared" si="5"/>
        <v>CO2STONSF</v>
      </c>
      <c r="F18" s="244" t="s">
        <v>683</v>
      </c>
      <c r="G18" s="114">
        <v>2020</v>
      </c>
      <c r="H18" s="114">
        <v>2020</v>
      </c>
      <c r="I18" s="171">
        <v>1</v>
      </c>
      <c r="J18" s="71">
        <v>1</v>
      </c>
      <c r="K18" s="70">
        <v>0.85</v>
      </c>
      <c r="L18" s="94">
        <v>40</v>
      </c>
      <c r="M18" s="41">
        <f>IF(RIGHT(E18)="S",$U$17,$U$18)*'Data_Dist_&amp;_CAP'!H25*7.45/$T$25</f>
        <v>2.8087362282022057</v>
      </c>
      <c r="N18" s="94">
        <f t="shared" si="1"/>
        <v>2.8087362282022056E-2</v>
      </c>
      <c r="O18" s="41"/>
      <c r="P18" s="41"/>
      <c r="Q18" s="41"/>
      <c r="R18" s="114">
        <f t="shared" si="2"/>
        <v>169.99451712271417</v>
      </c>
      <c r="S18" s="213"/>
      <c r="T18" s="134"/>
      <c r="U18" s="134">
        <f>U17*1.2</f>
        <v>1.56</v>
      </c>
      <c r="V18" s="134" t="s">
        <v>416</v>
      </c>
      <c r="W18" s="134"/>
      <c r="X18" s="134"/>
      <c r="Y18" s="134"/>
      <c r="Z18" s="134"/>
      <c r="AA18" s="41"/>
      <c r="AB18" s="41"/>
      <c r="AC18" s="41"/>
      <c r="AD18" s="41"/>
    </row>
    <row r="19" spans="2:30" s="94" customFormat="1">
      <c r="B19" s="114" t="str">
        <f>ELC_CCS_Processes!C68</f>
        <v>CSTRAPSE3SFA</v>
      </c>
      <c r="C19" s="114" t="str">
        <f>ELC_CCS_Processes!D68</f>
        <v>Transport technology by pipeline from SE3 to SFA</v>
      </c>
      <c r="D19" s="114" t="s">
        <v>357</v>
      </c>
      <c r="E19" s="114" t="str">
        <f t="shared" si="5"/>
        <v>CO2STOSFA</v>
      </c>
      <c r="F19" s="244" t="s">
        <v>683</v>
      </c>
      <c r="G19" s="114">
        <v>2020</v>
      </c>
      <c r="H19" s="114">
        <v>2020</v>
      </c>
      <c r="I19" s="171">
        <v>1</v>
      </c>
      <c r="J19" s="71">
        <v>1</v>
      </c>
      <c r="K19" s="70">
        <v>0.85</v>
      </c>
      <c r="L19" s="94">
        <v>40</v>
      </c>
      <c r="M19" s="41">
        <f>IF(RIGHT(E19)="S",$U$17,$U$18)*'Data_Dist_&amp;_CAP'!H26*7.45/$T$25</f>
        <v>0.39322307194830886</v>
      </c>
      <c r="N19" s="94">
        <f t="shared" si="1"/>
        <v>3.9322307194830887E-3</v>
      </c>
      <c r="O19" s="41"/>
      <c r="P19" s="41"/>
      <c r="Q19" s="41"/>
      <c r="R19" s="114">
        <f t="shared" si="2"/>
        <v>23.799232397179985</v>
      </c>
      <c r="S19" s="213"/>
      <c r="T19" s="134" t="s">
        <v>417</v>
      </c>
      <c r="U19" s="134"/>
      <c r="V19" s="134"/>
      <c r="W19" s="134"/>
      <c r="X19" s="134"/>
      <c r="Y19" s="134"/>
      <c r="Z19" s="134"/>
    </row>
    <row r="20" spans="2:30" s="94" customFormat="1">
      <c r="B20" s="114" t="str">
        <f>ELC_CCS_Processes!C69</f>
        <v>CSTRAPSE3SAA</v>
      </c>
      <c r="C20" s="114" t="str">
        <f>ELC_CCS_Processes!D69</f>
        <v>Transport technology by pipeline from SE3 to SAA</v>
      </c>
      <c r="D20" s="114" t="s">
        <v>357</v>
      </c>
      <c r="E20" s="114" t="str">
        <f t="shared" si="5"/>
        <v>CO2STOSAA</v>
      </c>
      <c r="F20" s="244" t="s">
        <v>683</v>
      </c>
      <c r="G20" s="114">
        <v>2020</v>
      </c>
      <c r="H20" s="114">
        <v>2020</v>
      </c>
      <c r="I20" s="171">
        <v>1</v>
      </c>
      <c r="J20" s="71">
        <v>1</v>
      </c>
      <c r="K20" s="70">
        <v>0.85</v>
      </c>
      <c r="L20" s="94">
        <v>40</v>
      </c>
      <c r="M20" s="41">
        <f>IF(RIGHT(E20)="S",$U$17,$U$18)*'Data_Dist_&amp;_CAP'!H27*7.45/$T$25</f>
        <v>0.45641963708285843</v>
      </c>
      <c r="N20" s="94">
        <f t="shared" si="1"/>
        <v>4.5641963708285844E-3</v>
      </c>
      <c r="O20" s="41"/>
      <c r="P20" s="41"/>
      <c r="Q20" s="41"/>
      <c r="R20" s="114">
        <f t="shared" si="2"/>
        <v>27.624109032441048</v>
      </c>
      <c r="S20" s="213"/>
      <c r="T20" s="134"/>
      <c r="U20" s="134"/>
      <c r="V20" s="134"/>
      <c r="W20" s="134"/>
      <c r="X20" s="134"/>
      <c r="Y20" s="134"/>
      <c r="Z20" s="134"/>
    </row>
    <row r="21" spans="2:30" s="94" customFormat="1">
      <c r="B21" s="114" t="str">
        <f>ELC_CCS_Processes!C70</f>
        <v>CSTRAPSE3NSF</v>
      </c>
      <c r="C21" s="114" t="str">
        <f>ELC_CCS_Processes!D70</f>
        <v>Transport technology by pipeline from SE3 to NSF</v>
      </c>
      <c r="D21" s="114" t="s">
        <v>357</v>
      </c>
      <c r="E21" s="114" t="str">
        <f t="shared" si="5"/>
        <v>CO2STONSF</v>
      </c>
      <c r="F21" s="244" t="s">
        <v>683</v>
      </c>
      <c r="G21" s="114">
        <v>2020</v>
      </c>
      <c r="H21" s="114">
        <v>2020</v>
      </c>
      <c r="I21" s="171">
        <v>1</v>
      </c>
      <c r="J21" s="71">
        <v>1</v>
      </c>
      <c r="K21" s="70">
        <v>0.85</v>
      </c>
      <c r="L21" s="94">
        <v>40</v>
      </c>
      <c r="M21" s="41">
        <f>IF(RIGHT(E21)="S",$U$17,$U$18)*'Data_Dist_&amp;_CAP'!H28*7.45/$T$25</f>
        <v>0.86368639017217819</v>
      </c>
      <c r="N21" s="94">
        <f t="shared" si="1"/>
        <v>8.6368639017217821E-3</v>
      </c>
      <c r="R21" s="114">
        <f t="shared" si="2"/>
        <v>52.27331401523459</v>
      </c>
      <c r="S21" s="213"/>
      <c r="T21" s="134" t="s">
        <v>418</v>
      </c>
      <c r="U21" s="134"/>
      <c r="V21" s="134"/>
      <c r="W21" s="134"/>
      <c r="X21" s="134"/>
      <c r="Y21" s="134"/>
      <c r="Z21" s="134"/>
    </row>
    <row r="22" spans="2:30" s="94" customFormat="1">
      <c r="B22" s="114" t="str">
        <f>ELC_CCS_Processes!C71</f>
        <v>CSTRAPSE4DZS</v>
      </c>
      <c r="C22" s="114" t="str">
        <f>ELC_CCS_Processes!D71</f>
        <v>Transport technology by pipeline from SE4 to DZS</v>
      </c>
      <c r="D22" s="114" t="s">
        <v>357</v>
      </c>
      <c r="E22" s="114" t="str">
        <f t="shared" si="5"/>
        <v>CO2STODZS</v>
      </c>
      <c r="F22" s="244" t="s">
        <v>683</v>
      </c>
      <c r="G22" s="114">
        <v>2020</v>
      </c>
      <c r="H22" s="114">
        <v>2020</v>
      </c>
      <c r="I22" s="171">
        <v>1</v>
      </c>
      <c r="J22" s="71">
        <v>1</v>
      </c>
      <c r="K22" s="70">
        <v>0.85</v>
      </c>
      <c r="L22" s="94">
        <v>40</v>
      </c>
      <c r="M22" s="41">
        <f>IF(RIGHT(E22)="S",$U$17,$U$18)*'Data_Dist_&amp;_CAP'!H29*7.45/$T$25</f>
        <v>7.0218405705055151E-2</v>
      </c>
      <c r="N22" s="94">
        <f t="shared" si="1"/>
        <v>7.0218405705055147E-4</v>
      </c>
      <c r="R22" s="114">
        <f t="shared" si="2"/>
        <v>4.2498629280678539</v>
      </c>
      <c r="S22" s="213"/>
      <c r="T22" s="134"/>
      <c r="U22" s="134"/>
      <c r="V22" s="134"/>
      <c r="W22" s="134"/>
      <c r="X22" s="134"/>
      <c r="Y22" s="134"/>
      <c r="Z22" s="134"/>
    </row>
    <row r="23" spans="2:30" s="94" customFormat="1">
      <c r="B23" s="114" t="str">
        <f>ELC_CCS_Processes!C72</f>
        <v>CSTRAPSE4NSF</v>
      </c>
      <c r="C23" s="114" t="str">
        <f>ELC_CCS_Processes!D72</f>
        <v>Transport technology by pipeline from SE4 to NSF</v>
      </c>
      <c r="D23" s="114" t="s">
        <v>357</v>
      </c>
      <c r="E23" s="114" t="str">
        <f t="shared" si="5"/>
        <v>CO2STONSF</v>
      </c>
      <c r="F23" s="244" t="s">
        <v>683</v>
      </c>
      <c r="G23" s="114">
        <v>2020</v>
      </c>
      <c r="H23" s="114">
        <v>2020</v>
      </c>
      <c r="I23" s="171">
        <v>1</v>
      </c>
      <c r="J23" s="71">
        <v>1</v>
      </c>
      <c r="K23" s="70">
        <v>0.85</v>
      </c>
      <c r="L23" s="94">
        <v>40</v>
      </c>
      <c r="M23" s="41">
        <f>IF(RIGHT(E23)="S",$U$17,$U$18)*'Data_Dist_&amp;_CAP'!H30*7.45/$T$25</f>
        <v>1.2639313026909926</v>
      </c>
      <c r="N23" s="94">
        <f t="shared" si="1"/>
        <v>1.2639313026909927E-2</v>
      </c>
      <c r="R23" s="114">
        <f t="shared" si="2"/>
        <v>76.497532705221374</v>
      </c>
      <c r="S23" s="213"/>
      <c r="T23" s="134">
        <f>(3*900*4500*3.6)/0.5/1000000</f>
        <v>87.48</v>
      </c>
      <c r="U23" s="134" t="s">
        <v>419</v>
      </c>
      <c r="V23" s="134"/>
      <c r="W23" s="134"/>
      <c r="X23" s="134"/>
      <c r="Y23" s="134"/>
      <c r="Z23" s="134"/>
    </row>
    <row r="24" spans="2:30" s="94" customFormat="1">
      <c r="B24" s="114" t="str">
        <f>ELC_CCS_Processes!C73</f>
        <v>CSTRAPSE4SAA</v>
      </c>
      <c r="C24" s="114" t="str">
        <f>ELC_CCS_Processes!D73</f>
        <v>Transport technology by pipeline from SE4 to SAA</v>
      </c>
      <c r="D24" s="114" t="s">
        <v>357</v>
      </c>
      <c r="E24" s="114" t="str">
        <f t="shared" si="5"/>
        <v>CO2STOSAA</v>
      </c>
      <c r="F24" s="244" t="s">
        <v>683</v>
      </c>
      <c r="G24" s="114">
        <v>2020</v>
      </c>
      <c r="H24" s="114">
        <v>2020</v>
      </c>
      <c r="I24" s="171">
        <v>1</v>
      </c>
      <c r="J24" s="71">
        <v>1</v>
      </c>
      <c r="K24" s="70">
        <v>0.85</v>
      </c>
      <c r="L24" s="94">
        <v>40</v>
      </c>
      <c r="M24" s="41">
        <f>IF(RIGHT(E24)="S",$U$17,$U$18)*'Data_Dist_&amp;_CAP'!H31*7.45/$T$25</f>
        <v>5.6174724564044119E-2</v>
      </c>
      <c r="N24" s="94">
        <f t="shared" si="1"/>
        <v>5.6174724564044118E-4</v>
      </c>
      <c r="R24" s="114">
        <f t="shared" si="2"/>
        <v>3.3998903424542832</v>
      </c>
      <c r="S24" s="213"/>
      <c r="T24" s="134"/>
      <c r="U24" s="134"/>
      <c r="V24" s="134"/>
      <c r="W24" s="134"/>
      <c r="X24" s="134"/>
      <c r="Y24" s="134"/>
      <c r="Z24" s="134"/>
    </row>
    <row r="25" spans="2:30" s="94" customFormat="1">
      <c r="B25" s="114" t="str">
        <f>ELC_CCS_Processes!C74</f>
        <v>CSTRAPNO1DHS</v>
      </c>
      <c r="C25" s="114" t="str">
        <f>ELC_CCS_Processes!D74</f>
        <v>Transport technology by pipeline from NO1 to DHS</v>
      </c>
      <c r="D25" s="114" t="s">
        <v>357</v>
      </c>
      <c r="E25" s="114" t="str">
        <f t="shared" si="5"/>
        <v>CO2STODHS</v>
      </c>
      <c r="F25" s="244" t="s">
        <v>683</v>
      </c>
      <c r="G25" s="114">
        <v>2020</v>
      </c>
      <c r="H25" s="114">
        <v>2020</v>
      </c>
      <c r="I25" s="171">
        <v>1</v>
      </c>
      <c r="J25" s="71">
        <v>1</v>
      </c>
      <c r="K25" s="70">
        <v>0.85</v>
      </c>
      <c r="L25" s="94">
        <v>40</v>
      </c>
      <c r="M25" s="41">
        <f>IF(RIGHT(E25)="S",$U$17,$U$18)*'Data_Dist_&amp;_CAP'!H32*7.45/$T$25</f>
        <v>0.29257669043772977</v>
      </c>
      <c r="N25" s="94">
        <f t="shared" si="1"/>
        <v>2.9257669043772977E-3</v>
      </c>
      <c r="R25" s="114">
        <f t="shared" si="2"/>
        <v>17.707762200282723</v>
      </c>
      <c r="S25" s="213"/>
      <c r="T25" s="134">
        <f>T23*94.6</f>
        <v>8275.6080000000002</v>
      </c>
      <c r="U25" s="134" t="s">
        <v>420</v>
      </c>
      <c r="V25" s="134"/>
      <c r="W25" s="134"/>
      <c r="X25" s="134"/>
      <c r="Y25" s="134"/>
      <c r="Z25" s="134"/>
    </row>
    <row r="26" spans="2:30" s="94" customFormat="1">
      <c r="B26" s="114" t="str">
        <f>ELC_CCS_Processes!C75</f>
        <v>CSTRAPNO1DGA</v>
      </c>
      <c r="C26" s="114" t="str">
        <f>ELC_CCS_Processes!D75</f>
        <v>Transport technology by pipeline from NO1 to DGA</v>
      </c>
      <c r="D26" s="114" t="s">
        <v>357</v>
      </c>
      <c r="E26" s="114" t="str">
        <f t="shared" si="5"/>
        <v>CO2STODGA</v>
      </c>
      <c r="F26" s="244" t="s">
        <v>683</v>
      </c>
      <c r="G26" s="114">
        <v>2020</v>
      </c>
      <c r="H26" s="114">
        <v>2020</v>
      </c>
      <c r="I26" s="171">
        <v>1</v>
      </c>
      <c r="J26" s="71">
        <v>1</v>
      </c>
      <c r="K26" s="70">
        <v>0.85</v>
      </c>
      <c r="L26" s="94">
        <v>40</v>
      </c>
      <c r="M26" s="41">
        <f>IF(RIGHT(E26)="S",$U$17,$U$18)*'Data_Dist_&amp;_CAP'!H33*7.45/$T$25</f>
        <v>0.25278626053819853</v>
      </c>
      <c r="N26" s="94">
        <f t="shared" si="1"/>
        <v>2.5278626053819855E-3</v>
      </c>
      <c r="R26" s="114">
        <f t="shared" si="2"/>
        <v>15.299506541044272</v>
      </c>
      <c r="S26" s="213"/>
      <c r="T26" s="134"/>
      <c r="U26" s="134"/>
      <c r="V26" s="134"/>
      <c r="W26" s="134"/>
      <c r="X26" s="134"/>
      <c r="Y26" s="134"/>
      <c r="Z26" s="134"/>
    </row>
    <row r="27" spans="2:30" s="94" customFormat="1">
      <c r="B27" s="114" t="str">
        <f>ELC_CCS_Processes!C76</f>
        <v>CSTRAPNO1NSF</v>
      </c>
      <c r="C27" s="114" t="str">
        <f>ELC_CCS_Processes!D76</f>
        <v>Transport technology by pipeline from NO1 to NSF</v>
      </c>
      <c r="D27" s="114" t="s">
        <v>357</v>
      </c>
      <c r="E27" s="114" t="str">
        <f t="shared" si="5"/>
        <v>CO2STONSF</v>
      </c>
      <c r="F27" s="244" t="s">
        <v>683</v>
      </c>
      <c r="G27" s="114">
        <v>2020</v>
      </c>
      <c r="H27" s="114">
        <v>2020</v>
      </c>
      <c r="I27" s="171">
        <v>1</v>
      </c>
      <c r="J27" s="71">
        <v>1</v>
      </c>
      <c r="K27" s="70">
        <v>0.85</v>
      </c>
      <c r="L27" s="94">
        <v>40</v>
      </c>
      <c r="M27" s="41">
        <f>IF(RIGHT(E27)="S",$U$17,$U$18)*'Data_Dist_&amp;_CAP'!H34*7.45/$T$25</f>
        <v>0.77240246275560664</v>
      </c>
      <c r="N27" s="94">
        <f t="shared" si="1"/>
        <v>7.7240246275560665E-3</v>
      </c>
      <c r="O27" s="41"/>
      <c r="P27" s="41"/>
      <c r="Q27" s="41"/>
      <c r="R27" s="114">
        <f t="shared" si="2"/>
        <v>46.748492208746391</v>
      </c>
      <c r="S27" s="213"/>
      <c r="T27" s="134" t="s">
        <v>421</v>
      </c>
      <c r="U27" s="134"/>
      <c r="V27" s="134"/>
      <c r="W27" s="134"/>
      <c r="X27" s="134"/>
      <c r="Y27" s="134"/>
      <c r="Z27" s="134"/>
    </row>
    <row r="28" spans="2:30" s="94" customFormat="1">
      <c r="B28" s="114" t="str">
        <f>ELC_CCS_Processes!C77</f>
        <v>CSTRAPNO2NSA</v>
      </c>
      <c r="C28" s="114" t="str">
        <f>ELC_CCS_Processes!D77</f>
        <v>Transport technology by pipeline from NO2 to NSA</v>
      </c>
      <c r="D28" s="114" t="s">
        <v>357</v>
      </c>
      <c r="E28" s="114" t="str">
        <f t="shared" si="5"/>
        <v>CO2STONSA</v>
      </c>
      <c r="F28" s="244" t="s">
        <v>683</v>
      </c>
      <c r="G28" s="114">
        <v>2020</v>
      </c>
      <c r="H28" s="114">
        <v>2020</v>
      </c>
      <c r="I28" s="171">
        <v>1</v>
      </c>
      <c r="J28" s="71">
        <v>1</v>
      </c>
      <c r="K28" s="70">
        <v>0.85</v>
      </c>
      <c r="L28" s="94">
        <v>40</v>
      </c>
      <c r="M28" s="41">
        <f>IF(RIGHT(E28)="S",$U$17,$U$18)*'Data_Dist_&amp;_CAP'!H35*7.45/$T$25</f>
        <v>0.21065521711516544</v>
      </c>
      <c r="N28" s="94">
        <f t="shared" si="1"/>
        <v>2.1065521711516543E-3</v>
      </c>
      <c r="O28" s="41"/>
      <c r="P28" s="41"/>
      <c r="Q28" s="41"/>
      <c r="R28" s="114">
        <f t="shared" si="2"/>
        <v>12.74958878420356</v>
      </c>
      <c r="S28" s="213"/>
      <c r="T28" s="134"/>
      <c r="U28" s="134"/>
      <c r="V28" s="134"/>
      <c r="W28" s="134"/>
      <c r="X28" s="134"/>
      <c r="Y28" s="134"/>
      <c r="Z28" s="134"/>
    </row>
    <row r="29" spans="2:30" s="94" customFormat="1">
      <c r="B29" s="114" t="str">
        <f>ELC_CCS_Processes!C78</f>
        <v>CSTRAPNO2NMF</v>
      </c>
      <c r="C29" s="114" t="str">
        <f>ELC_CCS_Processes!D78</f>
        <v>Transport technology by pipeline from NO2 to NMF</v>
      </c>
      <c r="D29" s="114" t="s">
        <v>357</v>
      </c>
      <c r="E29" s="114" t="str">
        <f t="shared" si="5"/>
        <v>CO2STONMF</v>
      </c>
      <c r="F29" s="244" t="s">
        <v>683</v>
      </c>
      <c r="G29" s="114">
        <v>2020</v>
      </c>
      <c r="H29" s="114">
        <v>2020</v>
      </c>
      <c r="I29" s="171">
        <v>1</v>
      </c>
      <c r="J29" s="71">
        <v>1</v>
      </c>
      <c r="K29" s="70">
        <v>0.85</v>
      </c>
      <c r="L29" s="94">
        <v>40</v>
      </c>
      <c r="M29" s="41">
        <f>IF(RIGHT(E29)="S",$U$17,$U$18)*'Data_Dist_&amp;_CAP'!H36*7.45/$T$25</f>
        <v>1.0111450421527941</v>
      </c>
      <c r="N29" s="94">
        <f t="shared" si="1"/>
        <v>1.0111450421527942E-2</v>
      </c>
      <c r="O29" s="41"/>
      <c r="P29" s="41"/>
      <c r="Q29" s="41"/>
      <c r="R29" s="114">
        <f t="shared" si="2"/>
        <v>61.198026164177087</v>
      </c>
      <c r="S29" s="213"/>
      <c r="T29" s="134">
        <f>U17*U14*7.45/T25</f>
        <v>0.35109202852527571</v>
      </c>
      <c r="U29" s="134" t="s">
        <v>422</v>
      </c>
      <c r="V29" s="134"/>
      <c r="W29" s="134"/>
      <c r="X29" s="134"/>
      <c r="Y29" s="134"/>
      <c r="Z29" s="134"/>
    </row>
    <row r="30" spans="2:30" s="94" customFormat="1">
      <c r="B30" s="114" t="str">
        <f>ELC_CCS_Processes!C79</f>
        <v>CSTRAPNO2NSF</v>
      </c>
      <c r="C30" s="114" t="str">
        <f>ELC_CCS_Processes!D79</f>
        <v>Transport technology by pipeline from NO2 to NSF</v>
      </c>
      <c r="D30" s="114" t="s">
        <v>357</v>
      </c>
      <c r="E30" s="114" t="str">
        <f t="shared" si="5"/>
        <v>CO2STONSF</v>
      </c>
      <c r="F30" s="244" t="s">
        <v>683</v>
      </c>
      <c r="G30" s="114">
        <v>2020</v>
      </c>
      <c r="H30" s="114">
        <v>2020</v>
      </c>
      <c r="I30" s="171">
        <v>1</v>
      </c>
      <c r="J30" s="71">
        <v>1</v>
      </c>
      <c r="K30" s="70">
        <v>0.85</v>
      </c>
      <c r="L30" s="94">
        <v>40</v>
      </c>
      <c r="M30" s="41">
        <f>IF(RIGHT(E30)="S",$U$17,$U$18)*'Data_Dist_&amp;_CAP'!H37*7.45/$T$25</f>
        <v>0.21065521711516544</v>
      </c>
      <c r="N30" s="94">
        <f t="shared" si="1"/>
        <v>2.1065521711516543E-3</v>
      </c>
      <c r="O30" s="41"/>
      <c r="P30" s="41"/>
      <c r="Q30" s="41"/>
      <c r="R30" s="114">
        <f t="shared" si="2"/>
        <v>12.74958878420356</v>
      </c>
      <c r="S30" s="213"/>
      <c r="T30" s="134">
        <f>U18*U15*7.45/T25</f>
        <v>0.56174724564044121</v>
      </c>
      <c r="U30" s="134" t="s">
        <v>422</v>
      </c>
      <c r="V30" s="134"/>
      <c r="W30" s="134"/>
      <c r="X30" s="134"/>
      <c r="Y30" s="134"/>
      <c r="Z30" s="134"/>
    </row>
    <row r="31" spans="2:30" s="94" customFormat="1">
      <c r="B31" s="114" t="str">
        <f>ELC_CCS_Processes!C80</f>
        <v>CSTRAPNO5NGA</v>
      </c>
      <c r="C31" s="114" t="str">
        <f>ELC_CCS_Processes!D80</f>
        <v>Transport technology by pipeline from NO5 to NGA</v>
      </c>
      <c r="D31" s="114" t="s">
        <v>357</v>
      </c>
      <c r="E31" s="114" t="str">
        <f t="shared" si="5"/>
        <v>CO2STONGA</v>
      </c>
      <c r="F31" s="244" t="s">
        <v>683</v>
      </c>
      <c r="G31" s="114">
        <v>2020</v>
      </c>
      <c r="H31" s="114">
        <v>2020</v>
      </c>
      <c r="I31" s="171">
        <v>1</v>
      </c>
      <c r="J31" s="71">
        <v>1</v>
      </c>
      <c r="K31" s="70">
        <v>0.85</v>
      </c>
      <c r="L31" s="94">
        <v>40</v>
      </c>
      <c r="M31" s="41">
        <f>IF(RIGHT(E31)="S",$U$17,$U$18)*'Data_Dist_&amp;_CAP'!H38*7.45/$T$25</f>
        <v>0.84262086846066175</v>
      </c>
      <c r="N31" s="94">
        <f t="shared" si="1"/>
        <v>8.4262086846066172E-3</v>
      </c>
      <c r="O31" s="41"/>
      <c r="P31" s="41"/>
      <c r="Q31" s="41"/>
      <c r="R31" s="114">
        <f t="shared" si="2"/>
        <v>50.99835513681424</v>
      </c>
      <c r="S31" s="213"/>
      <c r="T31" s="134"/>
      <c r="U31" s="134"/>
      <c r="V31" s="134"/>
      <c r="W31" s="134"/>
      <c r="X31" s="134"/>
      <c r="Y31" s="134"/>
      <c r="Z31" s="134"/>
    </row>
    <row r="32" spans="2:30" s="94" customFormat="1">
      <c r="B32" s="114" t="str">
        <f>ELC_CCS_Processes!C81</f>
        <v>CSTRAPNO5NSA</v>
      </c>
      <c r="C32" s="114" t="str">
        <f>ELC_CCS_Processes!D81</f>
        <v>Transport technology by pipeline from NO5 to NSA</v>
      </c>
      <c r="D32" s="114" t="s">
        <v>357</v>
      </c>
      <c r="E32" s="114" t="str">
        <f t="shared" si="5"/>
        <v>CO2STONSA</v>
      </c>
      <c r="F32" s="244" t="s">
        <v>683</v>
      </c>
      <c r="G32" s="114">
        <v>2020</v>
      </c>
      <c r="H32" s="114">
        <v>2020</v>
      </c>
      <c r="I32" s="171">
        <v>1</v>
      </c>
      <c r="J32" s="71">
        <v>1</v>
      </c>
      <c r="K32" s="70">
        <v>0.85</v>
      </c>
      <c r="L32" s="94">
        <v>40</v>
      </c>
      <c r="M32" s="41">
        <f>IF(RIGHT(E32)="S",$U$17,$U$18)*'Data_Dist_&amp;_CAP'!H39*7.45/$T$25</f>
        <v>0.25278626053819853</v>
      </c>
      <c r="N32" s="94">
        <f t="shared" si="1"/>
        <v>2.5278626053819855E-3</v>
      </c>
      <c r="O32" s="41"/>
      <c r="P32" s="41"/>
      <c r="Q32" s="41"/>
      <c r="R32" s="114">
        <f t="shared" si="2"/>
        <v>15.299506541044272</v>
      </c>
      <c r="S32" s="213"/>
      <c r="T32" s="134" t="s">
        <v>423</v>
      </c>
      <c r="U32" s="134"/>
      <c r="V32" s="134"/>
      <c r="W32" s="134"/>
      <c r="X32" s="134"/>
      <c r="Y32" s="134"/>
      <c r="Z32" s="134"/>
    </row>
    <row r="33" spans="2:26" s="94" customFormat="1">
      <c r="B33" s="114" t="str">
        <f>ELC_CCS_Processes!C82</f>
        <v>CSTRAPNO5NSF</v>
      </c>
      <c r="C33" s="114" t="str">
        <f>ELC_CCS_Processes!D82</f>
        <v>Transport technology by pipeline from NO5 to NSF</v>
      </c>
      <c r="D33" s="114" t="s">
        <v>357</v>
      </c>
      <c r="E33" s="114" t="str">
        <f t="shared" si="5"/>
        <v>CO2STONSF</v>
      </c>
      <c r="F33" s="244" t="s">
        <v>683</v>
      </c>
      <c r="G33" s="114">
        <v>2020</v>
      </c>
      <c r="H33" s="114">
        <v>2020</v>
      </c>
      <c r="I33" s="171">
        <v>1</v>
      </c>
      <c r="J33" s="71">
        <v>1</v>
      </c>
      <c r="K33" s="70">
        <v>0.85</v>
      </c>
      <c r="L33" s="94">
        <v>40</v>
      </c>
      <c r="M33" s="41">
        <f>IF(RIGHT(E33)="S",$U$17,$U$18)*'Data_Dist_&amp;_CAP'!H40*7.45/$T$25</f>
        <v>0.25278626053819853</v>
      </c>
      <c r="N33" s="94">
        <f t="shared" si="1"/>
        <v>2.5278626053819855E-3</v>
      </c>
      <c r="R33" s="114">
        <f t="shared" si="2"/>
        <v>15.299506541044272</v>
      </c>
      <c r="S33" s="213"/>
      <c r="T33" s="124">
        <f>-1*PMT(4%,40,T29*1000)+T29*0.01*1000</f>
        <v>21.249314640339271</v>
      </c>
      <c r="U33" s="134" t="s">
        <v>424</v>
      </c>
      <c r="V33" s="134"/>
      <c r="W33" s="134"/>
      <c r="X33" s="134"/>
      <c r="Y33" s="134"/>
      <c r="Z33" s="134"/>
    </row>
    <row r="34" spans="2:26" s="94" customFormat="1">
      <c r="B34" s="114" t="str">
        <f>ELC_CCS_Processes!C83</f>
        <v>CSTRAPNO5NMF</v>
      </c>
      <c r="C34" s="114" t="str">
        <f>ELC_CCS_Processes!D83</f>
        <v>Transport technology by pipeline from NO5 to NMF</v>
      </c>
      <c r="D34" s="114" t="s">
        <v>357</v>
      </c>
      <c r="E34" s="114" t="str">
        <f t="shared" si="5"/>
        <v>CO2STONMF</v>
      </c>
      <c r="F34" s="244" t="s">
        <v>683</v>
      </c>
      <c r="G34" s="114">
        <v>2020</v>
      </c>
      <c r="H34" s="114">
        <v>2020</v>
      </c>
      <c r="I34" s="171">
        <v>1</v>
      </c>
      <c r="J34" s="71">
        <v>1</v>
      </c>
      <c r="K34" s="70">
        <v>0.85</v>
      </c>
      <c r="L34" s="94">
        <v>40</v>
      </c>
      <c r="M34" s="41">
        <f>IF(RIGHT(E34)="S",$U$17,$U$18)*'Data_Dist_&amp;_CAP'!H41*7.45/$T$25</f>
        <v>0.84262086846066175</v>
      </c>
      <c r="N34" s="94">
        <f t="shared" si="1"/>
        <v>8.4262086846066172E-3</v>
      </c>
      <c r="R34" s="114">
        <f t="shared" si="2"/>
        <v>50.99835513681424</v>
      </c>
      <c r="S34" s="213"/>
      <c r="T34" s="124">
        <f>-1*PMT(4%,40,T30*1000)+T30*0.01*1000</f>
        <v>33.998903424542831</v>
      </c>
      <c r="U34" s="134" t="s">
        <v>424</v>
      </c>
      <c r="V34" s="134"/>
      <c r="W34" s="134"/>
      <c r="X34" s="134"/>
      <c r="Y34" s="134"/>
      <c r="Z34" s="134"/>
    </row>
    <row r="35" spans="2:26" s="94" customFormat="1">
      <c r="B35" s="114" t="str">
        <f>ELC_CCS_Processes!C84</f>
        <v>CSTRAPDK1DTS</v>
      </c>
      <c r="C35" s="114" t="str">
        <f>ELC_CCS_Processes!D84</f>
        <v>Transport technology by ship from DK1 to DTS</v>
      </c>
      <c r="D35" s="114" t="s">
        <v>357</v>
      </c>
      <c r="E35" s="114" t="str">
        <f t="shared" si="5"/>
        <v>CO2STODTS</v>
      </c>
      <c r="F35" s="244" t="s">
        <v>683</v>
      </c>
      <c r="G35" s="114">
        <v>2020</v>
      </c>
      <c r="H35" s="114">
        <v>2020</v>
      </c>
      <c r="I35" s="171">
        <v>1</v>
      </c>
      <c r="J35" s="71">
        <v>1</v>
      </c>
      <c r="K35" s="70">
        <v>0.85</v>
      </c>
      <c r="M35" s="41"/>
      <c r="O35" s="94">
        <f>$T$38*'Data_Dist_&amp;_CAP'!H13/1000</f>
        <v>9.1866666666666659E-3</v>
      </c>
      <c r="R35" s="114">
        <f>O35*1000</f>
        <v>9.1866666666666656</v>
      </c>
      <c r="T35" s="134"/>
      <c r="U35" s="134"/>
      <c r="V35" s="134"/>
      <c r="W35" s="134"/>
      <c r="X35" s="134"/>
      <c r="Y35" s="134"/>
      <c r="Z35" s="134"/>
    </row>
    <row r="36" spans="2:26" s="94" customFormat="1">
      <c r="B36" s="114" t="str">
        <f>ELC_CCS_Processes!C85</f>
        <v>CSTRAPDK1DGS</v>
      </c>
      <c r="C36" s="114" t="str">
        <f>ELC_CCS_Processes!D85</f>
        <v>Transport technology by ship from DK1 to DGS</v>
      </c>
      <c r="D36" s="114" t="s">
        <v>357</v>
      </c>
      <c r="E36" s="114" t="str">
        <f t="shared" si="5"/>
        <v>CO2STODGS</v>
      </c>
      <c r="F36" s="244" t="s">
        <v>683</v>
      </c>
      <c r="G36" s="114">
        <v>2020</v>
      </c>
      <c r="H36" s="114">
        <v>2020</v>
      </c>
      <c r="I36" s="171">
        <v>1</v>
      </c>
      <c r="J36" s="71">
        <v>1</v>
      </c>
      <c r="K36" s="70">
        <v>0.85</v>
      </c>
      <c r="M36" s="41"/>
      <c r="O36" s="94">
        <f>$T$38*'Data_Dist_&amp;_CAP'!H14/1000</f>
        <v>7.4641666666666658E-3</v>
      </c>
      <c r="R36" s="114">
        <f t="shared" ref="R36:R63" si="6">O36*1000</f>
        <v>7.4641666666666655</v>
      </c>
      <c r="U36" s="134"/>
      <c r="V36" s="134"/>
      <c r="W36" s="134"/>
      <c r="X36" s="134"/>
      <c r="Y36" s="134"/>
      <c r="Z36" s="134"/>
    </row>
    <row r="37" spans="2:26" s="94" customFormat="1">
      <c r="B37" s="114" t="str">
        <f>ELC_CCS_Processes!C86</f>
        <v>CSTRAPDK1DGA</v>
      </c>
      <c r="C37" s="114" t="str">
        <f>ELC_CCS_Processes!D86</f>
        <v>Transport technology by ship from DK1 to DGA</v>
      </c>
      <c r="D37" s="114" t="s">
        <v>357</v>
      </c>
      <c r="E37" s="114" t="str">
        <f t="shared" si="5"/>
        <v>CO2STODGA</v>
      </c>
      <c r="F37" s="244" t="s">
        <v>683</v>
      </c>
      <c r="G37" s="114">
        <v>2020</v>
      </c>
      <c r="H37" s="114">
        <v>2020</v>
      </c>
      <c r="I37" s="171">
        <v>1</v>
      </c>
      <c r="J37" s="71">
        <v>1</v>
      </c>
      <c r="K37" s="70">
        <v>0.85</v>
      </c>
      <c r="M37" s="41"/>
      <c r="O37" s="94">
        <f>$T$38*'Data_Dist_&amp;_CAP'!H15/1000</f>
        <v>1.1483333333333332E-2</v>
      </c>
      <c r="R37" s="114">
        <f t="shared" si="6"/>
        <v>11.483333333333331</v>
      </c>
      <c r="S37" s="54"/>
      <c r="T37" s="12" t="s">
        <v>630</v>
      </c>
      <c r="U37" s="134"/>
      <c r="V37" s="134"/>
      <c r="W37" s="134"/>
      <c r="X37" s="134"/>
      <c r="Y37" s="134"/>
      <c r="Z37" s="134"/>
    </row>
    <row r="38" spans="2:26" s="94" customFormat="1">
      <c r="B38" s="114" t="str">
        <f>ELC_CCS_Processes!C87</f>
        <v>CSTRAPDK1NSF</v>
      </c>
      <c r="C38" s="114" t="str">
        <f>ELC_CCS_Processes!D87</f>
        <v>Transport technology by ship from DK1 to NSF</v>
      </c>
      <c r="D38" s="114" t="s">
        <v>357</v>
      </c>
      <c r="E38" s="114" t="str">
        <f t="shared" si="5"/>
        <v>CO2STONSF</v>
      </c>
      <c r="F38" s="244" t="s">
        <v>683</v>
      </c>
      <c r="G38" s="114">
        <v>2020</v>
      </c>
      <c r="H38" s="114">
        <v>2020</v>
      </c>
      <c r="I38" s="171">
        <v>1</v>
      </c>
      <c r="J38" s="71">
        <v>1</v>
      </c>
      <c r="K38" s="70">
        <v>0.85</v>
      </c>
      <c r="M38" s="41"/>
      <c r="O38" s="94">
        <f>$T$38*'Data_Dist_&amp;_CAP'!H16/1000</f>
        <v>5.7416666666666658E-2</v>
      </c>
      <c r="R38" s="114">
        <f t="shared" si="6"/>
        <v>57.416666666666657</v>
      </c>
      <c r="S38" s="54"/>
      <c r="T38" s="199">
        <f>5.3*6.5/300</f>
        <v>0.11483333333333332</v>
      </c>
      <c r="U38" s="201" t="s">
        <v>631</v>
      </c>
      <c r="V38" s="199"/>
      <c r="W38" s="197"/>
      <c r="X38" s="134"/>
      <c r="Y38" s="134"/>
      <c r="Z38" s="134"/>
    </row>
    <row r="39" spans="2:26" s="94" customFormat="1">
      <c r="B39" s="114" t="str">
        <f>ELC_CCS_Processes!C88</f>
        <v>CSTRAPDK1DHF</v>
      </c>
      <c r="C39" s="114" t="str">
        <f>ELC_CCS_Processes!D88</f>
        <v>Transport technology by ship from DK1 to DHF</v>
      </c>
      <c r="D39" s="114" t="s">
        <v>357</v>
      </c>
      <c r="E39" s="114" t="str">
        <f t="shared" ref="E39" si="7">"CO2STO"&amp;RIGHT(B39,3)</f>
        <v>CO2STODHF</v>
      </c>
      <c r="F39" s="244" t="s">
        <v>683</v>
      </c>
      <c r="G39" s="114">
        <v>2020</v>
      </c>
      <c r="H39" s="114">
        <v>2020</v>
      </c>
      <c r="I39" s="171">
        <v>1</v>
      </c>
      <c r="J39" s="71">
        <v>1</v>
      </c>
      <c r="K39" s="70">
        <v>0.85</v>
      </c>
      <c r="M39" s="41"/>
      <c r="O39" s="94">
        <f>$T$38*'Data_Dist_&amp;_CAP'!H17/1000</f>
        <v>2.2966666666666663E-2</v>
      </c>
      <c r="R39" s="114">
        <f t="shared" ref="R39" si="8">O39*1000</f>
        <v>22.966666666666661</v>
      </c>
      <c r="S39" s="54"/>
      <c r="T39" s="199"/>
      <c r="U39" s="199"/>
      <c r="V39" s="197"/>
      <c r="W39" s="197"/>
      <c r="X39" s="134"/>
      <c r="Y39" s="134"/>
      <c r="Z39" s="134"/>
    </row>
    <row r="40" spans="2:26" s="94" customFormat="1">
      <c r="B40" s="114" t="str">
        <f>ELC_CCS_Processes!C89</f>
        <v>CSTRAPDK2DZS</v>
      </c>
      <c r="C40" s="114" t="str">
        <f>ELC_CCS_Processes!D89</f>
        <v>Transport technology by ship from DK2 to DZS</v>
      </c>
      <c r="D40" s="114" t="s">
        <v>357</v>
      </c>
      <c r="E40" s="114" t="str">
        <f t="shared" si="5"/>
        <v>CO2STODZS</v>
      </c>
      <c r="F40" s="244" t="s">
        <v>683</v>
      </c>
      <c r="G40" s="114">
        <v>2020</v>
      </c>
      <c r="H40" s="114">
        <v>2020</v>
      </c>
      <c r="I40" s="171">
        <v>1</v>
      </c>
      <c r="J40" s="71">
        <v>1</v>
      </c>
      <c r="K40" s="70">
        <v>0.85</v>
      </c>
      <c r="M40" s="41"/>
      <c r="O40" s="94">
        <f>$T$38*'Data_Dist_&amp;_CAP'!H18/1000</f>
        <v>6.8899999999999986E-3</v>
      </c>
      <c r="R40" s="114">
        <f t="shared" si="6"/>
        <v>6.8899999999999988</v>
      </c>
      <c r="S40" s="54"/>
      <c r="T40" s="199"/>
      <c r="U40" s="199"/>
      <c r="V40" s="197"/>
      <c r="W40" s="197"/>
      <c r="X40" s="134"/>
      <c r="Y40" s="134"/>
      <c r="Z40" s="134"/>
    </row>
    <row r="41" spans="2:26" s="94" customFormat="1">
      <c r="B41" s="114" t="str">
        <f>ELC_CCS_Processes!C90</f>
        <v>CSTRAPDK2NSF</v>
      </c>
      <c r="C41" s="114" t="str">
        <f>ELC_CCS_Processes!D90</f>
        <v>Transport technology by ship from DK2 to NSF</v>
      </c>
      <c r="D41" s="114" t="s">
        <v>357</v>
      </c>
      <c r="E41" s="114" t="str">
        <f t="shared" si="5"/>
        <v>CO2STONSF</v>
      </c>
      <c r="F41" s="244" t="s">
        <v>683</v>
      </c>
      <c r="G41" s="114">
        <v>2020</v>
      </c>
      <c r="H41" s="114">
        <v>2020</v>
      </c>
      <c r="I41" s="171">
        <v>1</v>
      </c>
      <c r="J41" s="71">
        <v>1</v>
      </c>
      <c r="K41" s="70">
        <v>0.85</v>
      </c>
      <c r="M41" s="41"/>
      <c r="O41" s="94">
        <f>$T$38*'Data_Dist_&amp;_CAP'!H19/1000</f>
        <v>0.10334999999999998</v>
      </c>
      <c r="R41" s="114">
        <f t="shared" si="6"/>
        <v>103.34999999999998</v>
      </c>
      <c r="S41" s="54"/>
      <c r="T41" s="199"/>
      <c r="U41" s="199"/>
      <c r="V41" s="197"/>
      <c r="W41" s="197"/>
      <c r="X41" s="134"/>
      <c r="Y41" s="134"/>
      <c r="Z41" s="134"/>
    </row>
    <row r="42" spans="2:26" s="94" customFormat="1">
      <c r="B42" s="114" t="str">
        <f>ELC_CCS_Processes!C91</f>
        <v>CSTRAPDK2SAA</v>
      </c>
      <c r="C42" s="114" t="str">
        <f>ELC_CCS_Processes!D91</f>
        <v>Transport technology by ship from DK2 to SAA</v>
      </c>
      <c r="D42" s="114" t="s">
        <v>357</v>
      </c>
      <c r="E42" s="114" t="str">
        <f t="shared" si="5"/>
        <v>CO2STOSAA</v>
      </c>
      <c r="F42" s="244" t="s">
        <v>683</v>
      </c>
      <c r="G42" s="114">
        <v>2020</v>
      </c>
      <c r="H42" s="114">
        <v>2020</v>
      </c>
      <c r="I42" s="171">
        <v>1</v>
      </c>
      <c r="J42" s="71">
        <v>1</v>
      </c>
      <c r="K42" s="70">
        <v>0.85</v>
      </c>
      <c r="M42" s="41"/>
      <c r="O42" s="94">
        <f>$T$38*'Data_Dist_&amp;_CAP'!H20/1000</f>
        <v>4.5933333333333329E-3</v>
      </c>
      <c r="R42" s="114">
        <f t="shared" si="6"/>
        <v>4.5933333333333328</v>
      </c>
      <c r="S42" s="54"/>
      <c r="T42" s="199"/>
      <c r="U42" s="200"/>
      <c r="V42" s="197"/>
      <c r="W42" s="197"/>
      <c r="X42" s="134"/>
      <c r="Y42" s="134"/>
      <c r="Z42" s="134"/>
    </row>
    <row r="43" spans="2:26" s="94" customFormat="1" ht="13.2" customHeight="1">
      <c r="B43" s="114" t="str">
        <f>ELC_CCS_Processes!C92</f>
        <v>CSTRAPDK2DHF</v>
      </c>
      <c r="C43" s="114" t="str">
        <f>ELC_CCS_Processes!D92</f>
        <v>Transport technology by ship from DK2 to DHF</v>
      </c>
      <c r="D43" s="114" t="s">
        <v>357</v>
      </c>
      <c r="E43" s="114" t="str">
        <f t="shared" ref="E43" si="9">"CO2STO"&amp;RIGHT(B43,3)</f>
        <v>CO2STODHF</v>
      </c>
      <c r="F43" s="244" t="s">
        <v>683</v>
      </c>
      <c r="G43" s="114">
        <v>2020</v>
      </c>
      <c r="H43" s="114">
        <v>2020</v>
      </c>
      <c r="I43" s="171">
        <v>1</v>
      </c>
      <c r="J43" s="71">
        <v>1</v>
      </c>
      <c r="K43" s="70">
        <v>0.85</v>
      </c>
      <c r="M43" s="41"/>
      <c r="O43" s="94">
        <f>$T$38*'Data_Dist_&amp;_CAP'!H21/1000</f>
        <v>4.5933333333333326E-2</v>
      </c>
      <c r="R43" s="114">
        <f t="shared" ref="R43" si="10">O43*1000</f>
        <v>45.933333333333323</v>
      </c>
      <c r="T43" s="199"/>
      <c r="U43" s="199"/>
      <c r="V43" s="197"/>
      <c r="W43" s="197"/>
      <c r="X43" s="134"/>
      <c r="Y43" s="134"/>
      <c r="Z43" s="134"/>
    </row>
    <row r="44" spans="2:26" s="94" customFormat="1" ht="13.2" customHeight="1">
      <c r="B44" s="114" t="str">
        <f>ELC_CCS_Processes!C93</f>
        <v>CSTRAPSE1SFA</v>
      </c>
      <c r="C44" s="114" t="str">
        <f>ELC_CCS_Processes!D93</f>
        <v>Transport technology by ship from SE1 to SFA</v>
      </c>
      <c r="D44" s="114" t="s">
        <v>357</v>
      </c>
      <c r="E44" s="114" t="str">
        <f t="shared" si="5"/>
        <v>CO2STOSFA</v>
      </c>
      <c r="F44" s="244" t="s">
        <v>683</v>
      </c>
      <c r="G44" s="114">
        <v>2020</v>
      </c>
      <c r="H44" s="114">
        <v>2020</v>
      </c>
      <c r="I44" s="171">
        <v>1</v>
      </c>
      <c r="J44" s="71">
        <v>1</v>
      </c>
      <c r="K44" s="70">
        <v>0.85</v>
      </c>
      <c r="M44" s="41"/>
      <c r="O44" s="94">
        <f>$T$38*'Data_Dist_&amp;_CAP'!H22/1000</f>
        <v>0.12172333333333331</v>
      </c>
      <c r="R44" s="114">
        <f t="shared" si="6"/>
        <v>121.72333333333331</v>
      </c>
      <c r="T44" s="199"/>
      <c r="U44" s="200"/>
      <c r="V44" s="197"/>
      <c r="W44" s="197"/>
      <c r="X44" s="134"/>
      <c r="Y44" s="134"/>
      <c r="Z44" s="134"/>
    </row>
    <row r="45" spans="2:26" s="94" customFormat="1" ht="13.2" customHeight="1">
      <c r="B45" s="114" t="str">
        <f>ELC_CCS_Processes!C94</f>
        <v>CSTRAPSE1NSF</v>
      </c>
      <c r="C45" s="114" t="str">
        <f>ELC_CCS_Processes!D94</f>
        <v>Transport technology by ship from SE1 to NSF</v>
      </c>
      <c r="D45" s="114" t="s">
        <v>357</v>
      </c>
      <c r="E45" s="114" t="str">
        <f t="shared" si="5"/>
        <v>CO2STONSF</v>
      </c>
      <c r="F45" s="244" t="s">
        <v>683</v>
      </c>
      <c r="G45" s="114">
        <v>2020</v>
      </c>
      <c r="H45" s="114">
        <v>2020</v>
      </c>
      <c r="I45" s="171">
        <v>1</v>
      </c>
      <c r="J45" s="71">
        <v>1</v>
      </c>
      <c r="K45" s="70">
        <v>0.85</v>
      </c>
      <c r="M45" s="41"/>
      <c r="O45" s="94">
        <f>$T$38*'Data_Dist_&amp;_CAP'!H23/1000</f>
        <v>0.27559999999999996</v>
      </c>
      <c r="R45" s="114">
        <f t="shared" si="6"/>
        <v>275.59999999999997</v>
      </c>
    </row>
    <row r="46" spans="2:26" s="94" customFormat="1">
      <c r="B46" s="114" t="str">
        <f>ELC_CCS_Processes!C95</f>
        <v>CSTRAPSE2SFA</v>
      </c>
      <c r="C46" s="114" t="str">
        <f>ELC_CCS_Processes!D95</f>
        <v>Transport technology by ship from SE2 to SFA</v>
      </c>
      <c r="D46" s="114" t="s">
        <v>357</v>
      </c>
      <c r="E46" s="114" t="str">
        <f t="shared" si="5"/>
        <v>CO2STOSFA</v>
      </c>
      <c r="F46" s="244" t="s">
        <v>683</v>
      </c>
      <c r="G46" s="114">
        <v>2020</v>
      </c>
      <c r="H46" s="114">
        <v>2020</v>
      </c>
      <c r="I46" s="171">
        <v>1</v>
      </c>
      <c r="J46" s="71">
        <v>1</v>
      </c>
      <c r="K46" s="70">
        <v>0.85</v>
      </c>
      <c r="M46" s="41"/>
      <c r="O46" s="94">
        <f>$T$38*'Data_Dist_&amp;_CAP'!H24/1000</f>
        <v>8.3828333333333324E-2</v>
      </c>
      <c r="R46" s="114">
        <f t="shared" si="6"/>
        <v>83.828333333333319</v>
      </c>
    </row>
    <row r="47" spans="2:26" s="94" customFormat="1">
      <c r="B47" s="114" t="str">
        <f>ELC_CCS_Processes!C96</f>
        <v>CSTRAPSE2NSF</v>
      </c>
      <c r="C47" s="114" t="str">
        <f>ELC_CCS_Processes!D96</f>
        <v>Transport technology by ship from SE2 to NSF</v>
      </c>
      <c r="D47" s="114" t="s">
        <v>357</v>
      </c>
      <c r="E47" s="114" t="str">
        <f t="shared" si="5"/>
        <v>CO2STONSF</v>
      </c>
      <c r="F47" s="244" t="s">
        <v>683</v>
      </c>
      <c r="G47" s="114">
        <v>2020</v>
      </c>
      <c r="H47" s="114">
        <v>2020</v>
      </c>
      <c r="I47" s="171">
        <v>1</v>
      </c>
      <c r="J47" s="71">
        <v>1</v>
      </c>
      <c r="K47" s="70">
        <v>0.85</v>
      </c>
      <c r="M47" s="41"/>
      <c r="O47" s="94">
        <f>$T$38*'Data_Dist_&amp;_CAP'!H25/1000</f>
        <v>0.22966666666666663</v>
      </c>
      <c r="R47" s="114">
        <f t="shared" si="6"/>
        <v>229.66666666666663</v>
      </c>
    </row>
    <row r="48" spans="2:26" s="94" customFormat="1">
      <c r="B48" s="114" t="str">
        <f>ELC_CCS_Processes!C97</f>
        <v>CSTRAPSE3SFA</v>
      </c>
      <c r="C48" s="114" t="str">
        <f>ELC_CCS_Processes!D97</f>
        <v>Transport technology by ship from SE3 to SFA</v>
      </c>
      <c r="D48" s="114" t="s">
        <v>357</v>
      </c>
      <c r="E48" s="114" t="str">
        <f t="shared" si="5"/>
        <v>CO2STOSFA</v>
      </c>
      <c r="F48" s="244" t="s">
        <v>683</v>
      </c>
      <c r="G48" s="114">
        <v>2020</v>
      </c>
      <c r="H48" s="114">
        <v>2020</v>
      </c>
      <c r="I48" s="171">
        <v>1</v>
      </c>
      <c r="J48" s="71">
        <v>1</v>
      </c>
      <c r="K48" s="70">
        <v>0.85</v>
      </c>
      <c r="M48" s="41"/>
      <c r="O48" s="94">
        <f>$T$38*'Data_Dist_&amp;_CAP'!H26/1000</f>
        <v>3.2153333333333325E-2</v>
      </c>
      <c r="R48" s="114">
        <f t="shared" si="6"/>
        <v>32.153333333333329</v>
      </c>
    </row>
    <row r="49" spans="2:25">
      <c r="B49" s="114" t="str">
        <f>ELC_CCS_Processes!C98</f>
        <v>CSTRAPSE3SAA</v>
      </c>
      <c r="C49" s="114" t="str">
        <f>ELC_CCS_Processes!D98</f>
        <v>Transport technology by ship from SE3 to SAA</v>
      </c>
      <c r="D49" s="114" t="s">
        <v>357</v>
      </c>
      <c r="E49" s="114" t="str">
        <f t="shared" si="5"/>
        <v>CO2STOSAA</v>
      </c>
      <c r="F49" s="244" t="s">
        <v>683</v>
      </c>
      <c r="G49" s="114">
        <v>2020</v>
      </c>
      <c r="H49" s="114">
        <v>2020</v>
      </c>
      <c r="I49" s="171">
        <v>1</v>
      </c>
      <c r="J49" s="71">
        <v>1</v>
      </c>
      <c r="K49" s="70">
        <v>0.85</v>
      </c>
      <c r="L49" s="94"/>
      <c r="M49" s="41"/>
      <c r="N49" s="94"/>
      <c r="O49" s="94">
        <f>$T$38*'Data_Dist_&amp;_CAP'!H27/1000</f>
        <v>3.7320833333333324E-2</v>
      </c>
      <c r="P49" s="94"/>
      <c r="Q49" s="94"/>
      <c r="R49" s="114">
        <f t="shared" si="6"/>
        <v>37.320833333333326</v>
      </c>
    </row>
    <row r="50" spans="2:25">
      <c r="B50" s="114" t="str">
        <f>ELC_CCS_Processes!C99</f>
        <v>CSTRAPSE3NSF</v>
      </c>
      <c r="C50" s="114" t="str">
        <f>ELC_CCS_Processes!D99</f>
        <v>Transport technology by ship from SE3 to NSF</v>
      </c>
      <c r="D50" s="114" t="s">
        <v>357</v>
      </c>
      <c r="E50" s="114" t="str">
        <f t="shared" si="5"/>
        <v>CO2STONSF</v>
      </c>
      <c r="F50" s="244" t="s">
        <v>683</v>
      </c>
      <c r="G50" s="114">
        <v>2020</v>
      </c>
      <c r="H50" s="114">
        <v>2020</v>
      </c>
      <c r="I50" s="171">
        <v>1</v>
      </c>
      <c r="J50" s="71">
        <v>1</v>
      </c>
      <c r="K50" s="70">
        <v>0.85</v>
      </c>
      <c r="L50" s="94"/>
      <c r="M50" s="41"/>
      <c r="N50" s="94"/>
      <c r="O50" s="94">
        <f>$T$38*'Data_Dist_&amp;_CAP'!H28/1000</f>
        <v>7.0622499999999991E-2</v>
      </c>
      <c r="P50" s="94"/>
      <c r="Q50" s="94"/>
      <c r="R50" s="114">
        <f t="shared" si="6"/>
        <v>70.622499999999988</v>
      </c>
    </row>
    <row r="51" spans="2:25">
      <c r="B51" s="114" t="str">
        <f>ELC_CCS_Processes!C100</f>
        <v>CSTRAPSE4DZS</v>
      </c>
      <c r="C51" s="114" t="str">
        <f>ELC_CCS_Processes!D100</f>
        <v>Transport technology by ship from SE4 to DZS</v>
      </c>
      <c r="D51" s="114" t="s">
        <v>357</v>
      </c>
      <c r="E51" s="114" t="str">
        <f t="shared" si="5"/>
        <v>CO2STODZS</v>
      </c>
      <c r="F51" s="244" t="s">
        <v>683</v>
      </c>
      <c r="G51" s="114">
        <v>2020</v>
      </c>
      <c r="H51" s="114">
        <v>2020</v>
      </c>
      <c r="I51" s="171">
        <v>1</v>
      </c>
      <c r="J51" s="71">
        <v>1</v>
      </c>
      <c r="K51" s="70">
        <v>0.85</v>
      </c>
      <c r="L51" s="94"/>
      <c r="M51" s="41"/>
      <c r="N51" s="94"/>
      <c r="O51" s="94">
        <f>$T$38*'Data_Dist_&amp;_CAP'!H29/1000</f>
        <v>6.8899999999999986E-3</v>
      </c>
      <c r="P51" s="94"/>
      <c r="Q51" s="94"/>
      <c r="R51" s="114">
        <f t="shared" si="6"/>
        <v>6.8899999999999988</v>
      </c>
      <c r="V51" s="134"/>
      <c r="X51" s="134"/>
    </row>
    <row r="52" spans="2:25">
      <c r="B52" s="114" t="str">
        <f>ELC_CCS_Processes!C101</f>
        <v>CSTRAPSE4NSF</v>
      </c>
      <c r="C52" s="114" t="str">
        <f>ELC_CCS_Processes!D101</f>
        <v>Transport technology by ship from SE4 to NSF</v>
      </c>
      <c r="D52" s="114" t="s">
        <v>357</v>
      </c>
      <c r="E52" s="114" t="str">
        <f t="shared" si="5"/>
        <v>CO2STONSF</v>
      </c>
      <c r="F52" s="244" t="s">
        <v>683</v>
      </c>
      <c r="G52" s="114">
        <v>2020</v>
      </c>
      <c r="H52" s="114">
        <v>2020</v>
      </c>
      <c r="I52" s="171">
        <v>1</v>
      </c>
      <c r="J52" s="71">
        <v>1</v>
      </c>
      <c r="K52" s="70">
        <v>0.85</v>
      </c>
      <c r="L52" s="94"/>
      <c r="M52" s="41"/>
      <c r="N52" s="94"/>
      <c r="O52" s="94">
        <f>$T$38*'Data_Dist_&amp;_CAP'!H30/1000</f>
        <v>0.10334999999999998</v>
      </c>
      <c r="P52" s="94"/>
      <c r="Q52" s="94"/>
      <c r="R52" s="114">
        <f t="shared" si="6"/>
        <v>103.34999999999998</v>
      </c>
      <c r="V52" s="134"/>
      <c r="X52" s="134"/>
    </row>
    <row r="53" spans="2:25">
      <c r="B53" s="114" t="str">
        <f>ELC_CCS_Processes!C102</f>
        <v>CSTRAPSE4SAA</v>
      </c>
      <c r="C53" s="114" t="str">
        <f>ELC_CCS_Processes!D102</f>
        <v>Transport technology by ship from SE4 to SAA</v>
      </c>
      <c r="D53" s="114" t="s">
        <v>357</v>
      </c>
      <c r="E53" s="114" t="str">
        <f t="shared" si="5"/>
        <v>CO2STOSAA</v>
      </c>
      <c r="F53" s="244" t="s">
        <v>683</v>
      </c>
      <c r="G53" s="114">
        <v>2020</v>
      </c>
      <c r="H53" s="114">
        <v>2020</v>
      </c>
      <c r="I53" s="171">
        <v>1</v>
      </c>
      <c r="J53" s="71">
        <v>1</v>
      </c>
      <c r="K53" s="70">
        <v>0.85</v>
      </c>
      <c r="L53" s="94"/>
      <c r="M53" s="41"/>
      <c r="N53" s="94"/>
      <c r="O53" s="94">
        <f>$T$38*'Data_Dist_&amp;_CAP'!H31/1000</f>
        <v>4.5933333333333329E-3</v>
      </c>
      <c r="P53" s="94"/>
      <c r="Q53" s="94"/>
      <c r="R53" s="114">
        <f t="shared" si="6"/>
        <v>4.5933333333333328</v>
      </c>
      <c r="Y53" s="134"/>
    </row>
    <row r="54" spans="2:25">
      <c r="B54" s="114" t="str">
        <f>ELC_CCS_Processes!C103</f>
        <v>CSTRAPNO1DHS</v>
      </c>
      <c r="C54" s="114" t="str">
        <f>ELC_CCS_Processes!D103</f>
        <v>Transport technology by ship from NO1 to DHS</v>
      </c>
      <c r="D54" s="114" t="s">
        <v>357</v>
      </c>
      <c r="E54" s="114" t="str">
        <f t="shared" si="5"/>
        <v>CO2STODHS</v>
      </c>
      <c r="F54" s="244" t="s">
        <v>683</v>
      </c>
      <c r="G54" s="114">
        <v>2020</v>
      </c>
      <c r="H54" s="114">
        <v>2020</v>
      </c>
      <c r="I54" s="171">
        <v>1</v>
      </c>
      <c r="J54" s="71">
        <v>1</v>
      </c>
      <c r="K54" s="70">
        <v>0.85</v>
      </c>
      <c r="L54" s="94"/>
      <c r="M54" s="41"/>
      <c r="N54" s="94"/>
      <c r="O54" s="94">
        <f>$T$38*'Data_Dist_&amp;_CAP'!H32/1000</f>
        <v>2.8708333333333329E-2</v>
      </c>
      <c r="P54" s="94"/>
      <c r="Q54" s="94"/>
      <c r="R54" s="114">
        <f t="shared" si="6"/>
        <v>28.708333333333329</v>
      </c>
    </row>
    <row r="55" spans="2:25">
      <c r="B55" s="114" t="str">
        <f>ELC_CCS_Processes!C104</f>
        <v>CSTRAPNO1DGA</v>
      </c>
      <c r="C55" s="114" t="str">
        <f>ELC_CCS_Processes!D104</f>
        <v>Transport technology by ship from NO1 to DGA</v>
      </c>
      <c r="D55" s="114" t="s">
        <v>357</v>
      </c>
      <c r="E55" s="114" t="str">
        <f t="shared" si="5"/>
        <v>CO2STODGA</v>
      </c>
      <c r="F55" s="244" t="s">
        <v>683</v>
      </c>
      <c r="G55" s="114">
        <v>2020</v>
      </c>
      <c r="H55" s="114">
        <v>2020</v>
      </c>
      <c r="I55" s="171">
        <v>1</v>
      </c>
      <c r="J55" s="71">
        <v>1</v>
      </c>
      <c r="K55" s="70">
        <v>0.85</v>
      </c>
      <c r="L55" s="94"/>
      <c r="M55" s="41"/>
      <c r="N55" s="94"/>
      <c r="O55" s="94">
        <f>$T$38*'Data_Dist_&amp;_CAP'!H33/1000</f>
        <v>2.0669999999999997E-2</v>
      </c>
      <c r="P55" s="94"/>
      <c r="Q55" s="94"/>
      <c r="R55" s="114">
        <f t="shared" si="6"/>
        <v>20.669999999999998</v>
      </c>
    </row>
    <row r="56" spans="2:25">
      <c r="B56" s="114" t="str">
        <f>ELC_CCS_Processes!C105</f>
        <v>CSTRAPNO1NSF</v>
      </c>
      <c r="C56" s="114" t="str">
        <f>ELC_CCS_Processes!D105</f>
        <v>Transport technology by ship from NO1 to NSF</v>
      </c>
      <c r="D56" s="114" t="s">
        <v>357</v>
      </c>
      <c r="E56" s="114" t="str">
        <f t="shared" si="5"/>
        <v>CO2STONSF</v>
      </c>
      <c r="F56" s="244" t="s">
        <v>683</v>
      </c>
      <c r="G56" s="114">
        <v>2020</v>
      </c>
      <c r="H56" s="114">
        <v>2020</v>
      </c>
      <c r="I56" s="171">
        <v>1</v>
      </c>
      <c r="J56" s="71">
        <v>1</v>
      </c>
      <c r="K56" s="70">
        <v>0.85</v>
      </c>
      <c r="L56" s="94"/>
      <c r="M56" s="41"/>
      <c r="N56" s="94"/>
      <c r="O56" s="94">
        <f>$T$38*'Data_Dist_&amp;_CAP'!H34/1000</f>
        <v>6.315833333333333E-2</v>
      </c>
      <c r="P56" s="94"/>
      <c r="Q56" s="94"/>
      <c r="R56" s="114">
        <f t="shared" si="6"/>
        <v>63.158333333333331</v>
      </c>
    </row>
    <row r="57" spans="2:25">
      <c r="B57" s="114" t="str">
        <f>ELC_CCS_Processes!C106</f>
        <v>CSTRAPNO2NSA</v>
      </c>
      <c r="C57" s="114" t="str">
        <f>ELC_CCS_Processes!D106</f>
        <v>Transport technology by ship from NO2 to NSA</v>
      </c>
      <c r="D57" s="114" t="s">
        <v>357</v>
      </c>
      <c r="E57" s="114" t="str">
        <f t="shared" si="5"/>
        <v>CO2STONSA</v>
      </c>
      <c r="F57" s="244" t="s">
        <v>683</v>
      </c>
      <c r="G57" s="114">
        <v>2020</v>
      </c>
      <c r="H57" s="114">
        <v>2020</v>
      </c>
      <c r="I57" s="171">
        <v>1</v>
      </c>
      <c r="J57" s="71">
        <v>1</v>
      </c>
      <c r="K57" s="70">
        <v>0.85</v>
      </c>
      <c r="L57" s="94"/>
      <c r="M57" s="41"/>
      <c r="N57" s="94"/>
      <c r="O57" s="94">
        <f>$T$38*'Data_Dist_&amp;_CAP'!H35/1000</f>
        <v>1.7224999999999997E-2</v>
      </c>
      <c r="P57" s="94"/>
      <c r="Q57" s="94"/>
      <c r="R57" s="114">
        <f t="shared" si="6"/>
        <v>17.224999999999998</v>
      </c>
    </row>
    <row r="58" spans="2:25">
      <c r="B58" s="114" t="str">
        <f>ELC_CCS_Processes!C107</f>
        <v>CSTRAPNO2NMF</v>
      </c>
      <c r="C58" s="114" t="str">
        <f>ELC_CCS_Processes!D107</f>
        <v>Transport technology by ship from NO2 to NMF</v>
      </c>
      <c r="D58" s="114" t="s">
        <v>357</v>
      </c>
      <c r="E58" s="114" t="str">
        <f t="shared" si="5"/>
        <v>CO2STONMF</v>
      </c>
      <c r="F58" s="244" t="s">
        <v>683</v>
      </c>
      <c r="G58" s="114">
        <v>2020</v>
      </c>
      <c r="H58" s="114">
        <v>2020</v>
      </c>
      <c r="I58" s="171">
        <v>1</v>
      </c>
      <c r="J58" s="71">
        <v>1</v>
      </c>
      <c r="K58" s="70">
        <v>0.85</v>
      </c>
      <c r="L58" s="94"/>
      <c r="M58" s="41"/>
      <c r="N58" s="94"/>
      <c r="O58" s="94">
        <f>$T$38*'Data_Dist_&amp;_CAP'!H36/1000</f>
        <v>8.267999999999999E-2</v>
      </c>
      <c r="P58" s="94"/>
      <c r="Q58" s="94"/>
      <c r="R58" s="114">
        <f t="shared" si="6"/>
        <v>82.679999999999993</v>
      </c>
    </row>
    <row r="59" spans="2:25">
      <c r="B59" s="114" t="str">
        <f>ELC_CCS_Processes!C108</f>
        <v>CSTRAPNO2NSF</v>
      </c>
      <c r="C59" s="114" t="str">
        <f>ELC_CCS_Processes!D108</f>
        <v>Transport technology by ship from NO2 to NSF</v>
      </c>
      <c r="D59" s="114" t="s">
        <v>357</v>
      </c>
      <c r="E59" s="114" t="str">
        <f t="shared" si="5"/>
        <v>CO2STONSF</v>
      </c>
      <c r="F59" s="244" t="s">
        <v>683</v>
      </c>
      <c r="G59" s="114">
        <v>2020</v>
      </c>
      <c r="H59" s="114">
        <v>2020</v>
      </c>
      <c r="I59" s="171">
        <v>1</v>
      </c>
      <c r="J59" s="71">
        <v>1</v>
      </c>
      <c r="K59" s="70">
        <v>0.85</v>
      </c>
      <c r="L59" s="94"/>
      <c r="M59" s="41"/>
      <c r="N59" s="94"/>
      <c r="O59" s="94">
        <f>$T$38*'Data_Dist_&amp;_CAP'!H37/1000</f>
        <v>1.7224999999999997E-2</v>
      </c>
      <c r="P59" s="94"/>
      <c r="Q59" s="94"/>
      <c r="R59" s="114">
        <f t="shared" si="6"/>
        <v>17.224999999999998</v>
      </c>
    </row>
    <row r="60" spans="2:25">
      <c r="B60" s="114" t="str">
        <f>ELC_CCS_Processes!C109</f>
        <v>CSTRAPNO5NGA</v>
      </c>
      <c r="C60" s="114" t="str">
        <f>ELC_CCS_Processes!D109</f>
        <v>Transport technology by ship from NO5 to NGA</v>
      </c>
      <c r="D60" s="114" t="s">
        <v>357</v>
      </c>
      <c r="E60" s="114" t="str">
        <f t="shared" si="5"/>
        <v>CO2STONGA</v>
      </c>
      <c r="F60" s="244" t="s">
        <v>683</v>
      </c>
      <c r="G60" s="114">
        <v>2020</v>
      </c>
      <c r="H60" s="114">
        <v>2020</v>
      </c>
      <c r="I60" s="171">
        <v>1</v>
      </c>
      <c r="J60" s="71">
        <v>1</v>
      </c>
      <c r="K60" s="70">
        <v>0.85</v>
      </c>
      <c r="L60" s="94"/>
      <c r="M60" s="41"/>
      <c r="N60" s="94"/>
      <c r="O60" s="94">
        <f>$T$38*'Data_Dist_&amp;_CAP'!H38/1000</f>
        <v>6.8899999999999989E-2</v>
      </c>
      <c r="P60" s="94"/>
      <c r="Q60" s="94"/>
      <c r="R60" s="114">
        <f t="shared" si="6"/>
        <v>68.899999999999991</v>
      </c>
    </row>
    <row r="61" spans="2:25">
      <c r="B61" s="114" t="str">
        <f>ELC_CCS_Processes!C110</f>
        <v>CSTRAPNO5NSA</v>
      </c>
      <c r="C61" s="114" t="str">
        <f>ELC_CCS_Processes!D110</f>
        <v>Transport technology by ship from NO5 to NSA</v>
      </c>
      <c r="D61" s="114" t="s">
        <v>357</v>
      </c>
      <c r="E61" s="114" t="str">
        <f t="shared" si="5"/>
        <v>CO2STONSA</v>
      </c>
      <c r="F61" s="244" t="s">
        <v>683</v>
      </c>
      <c r="G61" s="114">
        <v>2020</v>
      </c>
      <c r="H61" s="114">
        <v>2020</v>
      </c>
      <c r="I61" s="171">
        <v>1</v>
      </c>
      <c r="J61" s="71">
        <v>1</v>
      </c>
      <c r="K61" s="70">
        <v>0.85</v>
      </c>
      <c r="L61" s="94"/>
      <c r="M61" s="41"/>
      <c r="N61" s="94"/>
      <c r="O61" s="94">
        <f>$T$38*'Data_Dist_&amp;_CAP'!H39/1000</f>
        <v>2.0669999999999997E-2</v>
      </c>
      <c r="P61" s="94"/>
      <c r="Q61" s="94"/>
      <c r="R61" s="114">
        <f t="shared" si="6"/>
        <v>20.669999999999998</v>
      </c>
    </row>
    <row r="62" spans="2:25">
      <c r="B62" s="114" t="str">
        <f>ELC_CCS_Processes!C111</f>
        <v>CSTRAPNO5NSF</v>
      </c>
      <c r="C62" s="114" t="str">
        <f>ELC_CCS_Processes!D111</f>
        <v>Transport technology by ship from NO5 to NSF</v>
      </c>
      <c r="D62" s="114" t="s">
        <v>357</v>
      </c>
      <c r="E62" s="114" t="str">
        <f t="shared" si="5"/>
        <v>CO2STONSF</v>
      </c>
      <c r="F62" s="244" t="s">
        <v>683</v>
      </c>
      <c r="G62" s="114">
        <v>2020</v>
      </c>
      <c r="H62" s="114">
        <v>2020</v>
      </c>
      <c r="I62" s="171">
        <v>1</v>
      </c>
      <c r="J62" s="71">
        <v>1</v>
      </c>
      <c r="K62" s="70">
        <v>0.85</v>
      </c>
      <c r="L62" s="94"/>
      <c r="M62" s="41"/>
      <c r="N62" s="94"/>
      <c r="O62" s="94">
        <f>$T$38*'Data_Dist_&amp;_CAP'!H40/1000</f>
        <v>2.0669999999999997E-2</v>
      </c>
      <c r="P62" s="94"/>
      <c r="Q62" s="94"/>
      <c r="R62" s="114">
        <f t="shared" si="6"/>
        <v>20.669999999999998</v>
      </c>
    </row>
    <row r="63" spans="2:25">
      <c r="B63" s="114" t="str">
        <f>ELC_CCS_Processes!C112</f>
        <v>CSTRAPNO5NMF</v>
      </c>
      <c r="C63" s="114" t="str">
        <f>ELC_CCS_Processes!D112</f>
        <v>Transport technology by ship from NO5 to NMF</v>
      </c>
      <c r="D63" s="114" t="s">
        <v>357</v>
      </c>
      <c r="E63" s="114" t="str">
        <f t="shared" si="5"/>
        <v>CO2STONMF</v>
      </c>
      <c r="F63" s="244" t="s">
        <v>683</v>
      </c>
      <c r="G63" s="114">
        <v>2020</v>
      </c>
      <c r="H63" s="114">
        <v>2020</v>
      </c>
      <c r="I63" s="171">
        <v>1</v>
      </c>
      <c r="J63" s="71">
        <v>1</v>
      </c>
      <c r="K63" s="70">
        <v>0.85</v>
      </c>
      <c r="L63" s="94"/>
      <c r="M63" s="41"/>
      <c r="N63" s="94"/>
      <c r="O63" s="94">
        <f>$T$38*'Data_Dist_&amp;_CAP'!H41/1000</f>
        <v>6.8899999999999989E-2</v>
      </c>
      <c r="P63" s="94"/>
      <c r="Q63" s="94"/>
      <c r="R63" s="114">
        <f t="shared" si="6"/>
        <v>68.899999999999991</v>
      </c>
    </row>
    <row r="64" spans="2:25" s="134" customFormat="1">
      <c r="B64" s="114" t="str">
        <f>ELC_CCS_Processes!C113</f>
        <v>CSTRAPISLISL</v>
      </c>
      <c r="C64" s="114" t="str">
        <f>ELC_CCS_Processes!D113</f>
        <v>Transport technology from ISL to ISL</v>
      </c>
      <c r="D64" s="114" t="s">
        <v>357</v>
      </c>
      <c r="E64" s="114" t="str">
        <f t="shared" ref="E64" si="11">"CO2STO"&amp;RIGHT(B64,3)</f>
        <v>CO2STOISL</v>
      </c>
      <c r="F64" s="244" t="s">
        <v>683</v>
      </c>
      <c r="G64" s="114">
        <v>2020</v>
      </c>
      <c r="H64" s="114">
        <v>2020</v>
      </c>
      <c r="I64" s="171">
        <v>1</v>
      </c>
      <c r="J64" s="71">
        <v>1</v>
      </c>
      <c r="K64" s="70">
        <v>0.85</v>
      </c>
      <c r="L64" s="94"/>
      <c r="M64" s="41"/>
      <c r="N64" s="94"/>
      <c r="O64" s="94">
        <f>$T$38*'Data_Dist_&amp;_CAP'!H42/1000</f>
        <v>0</v>
      </c>
      <c r="P64" s="94"/>
      <c r="Q64" s="94"/>
      <c r="R64" s="114">
        <f t="shared" ref="R64" si="12">O64*1000</f>
        <v>0</v>
      </c>
    </row>
    <row r="65" spans="2:12">
      <c r="B65" s="114"/>
      <c r="C65" s="114"/>
      <c r="D65" s="114"/>
      <c r="E65" s="114"/>
      <c r="F65" s="114"/>
      <c r="G65" s="114"/>
      <c r="H65" s="114"/>
      <c r="I65" s="114"/>
      <c r="J65" s="71"/>
      <c r="K65" s="70"/>
      <c r="L65" s="94"/>
    </row>
  </sheetData>
  <phoneticPr fontId="7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AF84"/>
  <sheetViews>
    <sheetView workbookViewId="0">
      <selection activeCell="B18" sqref="B18"/>
    </sheetView>
  </sheetViews>
  <sheetFormatPr defaultRowHeight="14.4"/>
  <cols>
    <col min="1" max="1" width="8.88671875" style="134"/>
    <col min="2" max="2" width="18.5546875" customWidth="1"/>
    <col min="3" max="3" width="71.44140625" customWidth="1"/>
    <col min="4" max="4" width="15" customWidth="1"/>
    <col min="5" max="5" width="17.44140625" customWidth="1"/>
    <col min="6" max="6" width="17.44140625" style="134" customWidth="1"/>
    <col min="15" max="15" width="10.5546875" style="134" customWidth="1"/>
    <col min="17" max="17" width="8.5546875" customWidth="1"/>
  </cols>
  <sheetData>
    <row r="1" spans="2:30" s="134" customFormat="1"/>
    <row r="2" spans="2:30" s="94" customFormat="1">
      <c r="B2" s="114"/>
      <c r="C2" s="114"/>
      <c r="D2" s="114"/>
      <c r="E2" s="114"/>
      <c r="F2" s="114"/>
      <c r="G2" s="4" t="s">
        <v>0</v>
      </c>
      <c r="H2" s="114"/>
      <c r="I2" s="65"/>
      <c r="J2" s="114"/>
      <c r="K2" s="114"/>
      <c r="L2" s="114"/>
      <c r="M2" s="114"/>
      <c r="N2" s="114"/>
      <c r="O2" s="114"/>
    </row>
    <row r="3" spans="2:30" s="94" customFormat="1" ht="28.8">
      <c r="B3" s="5" t="s">
        <v>1</v>
      </c>
      <c r="C3" s="5" t="s">
        <v>2</v>
      </c>
      <c r="D3" s="5" t="s">
        <v>3</v>
      </c>
      <c r="E3" s="6" t="s">
        <v>4</v>
      </c>
      <c r="F3" s="243" t="s">
        <v>681</v>
      </c>
      <c r="G3" s="5" t="s">
        <v>5</v>
      </c>
      <c r="H3" s="5" t="s">
        <v>6</v>
      </c>
      <c r="I3" s="67" t="s">
        <v>7</v>
      </c>
      <c r="J3" s="5" t="s">
        <v>8</v>
      </c>
      <c r="K3" s="5" t="s">
        <v>9</v>
      </c>
      <c r="L3" s="5" t="s">
        <v>11</v>
      </c>
      <c r="M3" s="5" t="s">
        <v>12</v>
      </c>
      <c r="N3" s="5" t="s">
        <v>19</v>
      </c>
      <c r="O3" s="175" t="s">
        <v>890</v>
      </c>
    </row>
    <row r="4" spans="2:30" s="3" customFormat="1" ht="87" customHeight="1">
      <c r="B4" s="7" t="s">
        <v>13</v>
      </c>
      <c r="C4" s="7"/>
      <c r="D4" s="7" t="s">
        <v>67</v>
      </c>
      <c r="E4" s="8" t="s">
        <v>68</v>
      </c>
      <c r="F4" s="7"/>
      <c r="G4" s="7"/>
      <c r="H4" s="7" t="s">
        <v>66</v>
      </c>
      <c r="I4" s="68" t="s">
        <v>158</v>
      </c>
      <c r="J4" s="7" t="s">
        <v>63</v>
      </c>
      <c r="K4" s="7" t="s">
        <v>64</v>
      </c>
      <c r="L4" s="7" t="s">
        <v>60</v>
      </c>
      <c r="M4" s="7" t="s">
        <v>61</v>
      </c>
      <c r="N4" s="7" t="s">
        <v>62</v>
      </c>
      <c r="O4" s="216"/>
      <c r="Q4" s="214" t="s">
        <v>688</v>
      </c>
      <c r="U4" s="248" t="s">
        <v>382</v>
      </c>
    </row>
    <row r="5" spans="2:30" s="94" customFormat="1" ht="15" thickBot="1">
      <c r="B5" s="9" t="s">
        <v>14</v>
      </c>
      <c r="C5" s="10"/>
      <c r="D5" s="10"/>
      <c r="E5" s="11"/>
      <c r="F5" s="81" t="s">
        <v>682</v>
      </c>
      <c r="G5" s="10"/>
      <c r="H5" s="10"/>
      <c r="I5" s="69" t="s">
        <v>159</v>
      </c>
      <c r="J5" s="10" t="s">
        <v>389</v>
      </c>
      <c r="K5" s="10" t="s">
        <v>386</v>
      </c>
      <c r="L5" s="10" t="s">
        <v>15</v>
      </c>
      <c r="M5" s="10" t="s">
        <v>15</v>
      </c>
      <c r="N5" s="10" t="s">
        <v>16</v>
      </c>
      <c r="O5" s="217"/>
      <c r="Q5" s="41"/>
      <c r="S5" s="94" t="s">
        <v>388</v>
      </c>
      <c r="T5" s="94" t="s">
        <v>387</v>
      </c>
      <c r="U5" s="94" t="s">
        <v>390</v>
      </c>
    </row>
    <row r="6" spans="2:30" s="94" customFormat="1">
      <c r="B6" s="114" t="str">
        <f>"CS"&amp;RIGHT(D6,6)</f>
        <v>CSSTODTS</v>
      </c>
      <c r="C6" s="114" t="s">
        <v>634</v>
      </c>
      <c r="D6" s="114" t="str">
        <f>ELC_CCS_Comm!C5</f>
        <v>CO2STODTS</v>
      </c>
      <c r="E6" s="114" t="s">
        <v>645</v>
      </c>
      <c r="F6" s="244" t="s">
        <v>683</v>
      </c>
      <c r="G6" s="114">
        <v>2013</v>
      </c>
      <c r="H6" s="114">
        <v>2020</v>
      </c>
      <c r="I6" s="65">
        <v>1</v>
      </c>
      <c r="J6" s="123">
        <f>$AA$28</f>
        <v>0.39790429899531249</v>
      </c>
      <c r="K6" s="123">
        <f>$AA$46</f>
        <v>1.0802831646931561E-2</v>
      </c>
      <c r="L6" s="94">
        <v>1</v>
      </c>
      <c r="M6" s="94">
        <v>1</v>
      </c>
      <c r="N6" s="94">
        <v>100</v>
      </c>
      <c r="O6" s="94">
        <v>-1</v>
      </c>
      <c r="Q6" s="114">
        <f>-1*PMT(4%,N6,J6*1000)+K6*1000</f>
        <v>27.040510295339487</v>
      </c>
      <c r="S6" s="94">
        <f>4/1000</f>
        <v>4.0000000000000001E-3</v>
      </c>
      <c r="T6" s="94">
        <f>1/1000</f>
        <v>1E-3</v>
      </c>
      <c r="U6" s="122">
        <f>5/1000</f>
        <v>5.0000000000000001E-3</v>
      </c>
    </row>
    <row r="7" spans="2:30" s="94" customFormat="1">
      <c r="B7" s="114" t="str">
        <f t="shared" ref="B7:B16" si="0">"CS"&amp;RIGHT(D7,6)</f>
        <v>CSSTODGS</v>
      </c>
      <c r="C7" s="114" t="s">
        <v>635</v>
      </c>
      <c r="D7" s="114" t="str">
        <f>ELC_CCS_Comm!C6</f>
        <v>CO2STODGS</v>
      </c>
      <c r="E7" s="114" t="s">
        <v>645</v>
      </c>
      <c r="F7" s="244" t="s">
        <v>683</v>
      </c>
      <c r="G7" s="114">
        <v>2013</v>
      </c>
      <c r="H7" s="114">
        <v>2020</v>
      </c>
      <c r="I7" s="65">
        <v>1</v>
      </c>
      <c r="J7" s="123">
        <f>$AA$28</f>
        <v>0.39790429899531249</v>
      </c>
      <c r="K7" s="123">
        <f>$AA$46</f>
        <v>1.0802831646931561E-2</v>
      </c>
      <c r="L7" s="94">
        <v>1</v>
      </c>
      <c r="M7" s="94">
        <v>1</v>
      </c>
      <c r="N7" s="94">
        <v>100</v>
      </c>
      <c r="O7" s="94">
        <v>-1</v>
      </c>
      <c r="Q7" s="114">
        <f t="shared" ref="Q7:Q16" si="1">-1*PMT(4%,N7,J7*1000)+K7*1000</f>
        <v>27.040510295339487</v>
      </c>
      <c r="Z7" s="94" t="s">
        <v>406</v>
      </c>
    </row>
    <row r="8" spans="2:30" s="94" customFormat="1">
      <c r="B8" s="114" t="str">
        <f t="shared" si="0"/>
        <v>CSSTODGA</v>
      </c>
      <c r="C8" s="114" t="s">
        <v>636</v>
      </c>
      <c r="D8" s="114" t="str">
        <f>ELC_CCS_Comm!C7</f>
        <v>CO2STODGA</v>
      </c>
      <c r="E8" s="114" t="s">
        <v>645</v>
      </c>
      <c r="F8" s="244" t="s">
        <v>683</v>
      </c>
      <c r="G8" s="114">
        <v>2013</v>
      </c>
      <c r="H8" s="114">
        <v>2020</v>
      </c>
      <c r="I8" s="65">
        <v>1</v>
      </c>
      <c r="J8" s="123">
        <f>$AC$28</f>
        <v>1.1703067617509191</v>
      </c>
      <c r="K8" s="123">
        <f>$AC$46</f>
        <v>1.0802831646931561E-2</v>
      </c>
      <c r="L8" s="94">
        <v>1</v>
      </c>
      <c r="M8" s="94">
        <v>1</v>
      </c>
      <c r="N8" s="94">
        <v>100</v>
      </c>
      <c r="O8" s="94">
        <v>-1</v>
      </c>
      <c r="Q8" s="114">
        <f t="shared" si="1"/>
        <v>58.560710024601924</v>
      </c>
      <c r="Z8" s="134"/>
    </row>
    <row r="9" spans="2:30" s="94" customFormat="1">
      <c r="B9" s="114" t="str">
        <f t="shared" si="0"/>
        <v>CSSTONSF</v>
      </c>
      <c r="C9" s="114" t="s">
        <v>637</v>
      </c>
      <c r="D9" s="114" t="str">
        <f>ELC_CCS_Comm!C8</f>
        <v>CO2STONSF</v>
      </c>
      <c r="E9" s="114" t="s">
        <v>645</v>
      </c>
      <c r="F9" s="244" t="s">
        <v>683</v>
      </c>
      <c r="G9" s="114">
        <v>2013</v>
      </c>
      <c r="H9" s="114">
        <v>2020</v>
      </c>
      <c r="I9" s="65">
        <v>1</v>
      </c>
      <c r="J9" s="123">
        <f>$AC$18</f>
        <v>1.1198935473985718</v>
      </c>
      <c r="K9" s="123">
        <f>$AC$36</f>
        <v>1.0802831646931561E-2</v>
      </c>
      <c r="L9" s="94">
        <v>1</v>
      </c>
      <c r="M9" s="94">
        <v>1</v>
      </c>
      <c r="N9" s="94">
        <v>100</v>
      </c>
      <c r="O9" s="94">
        <v>-1</v>
      </c>
      <c r="Q9" s="114">
        <f t="shared" si="1"/>
        <v>56.503447571409978</v>
      </c>
      <c r="Z9" s="180"/>
      <c r="AA9" s="192" t="s">
        <v>399</v>
      </c>
      <c r="AB9" s="189"/>
      <c r="AC9" s="192" t="s">
        <v>400</v>
      </c>
      <c r="AD9" s="190"/>
    </row>
    <row r="10" spans="2:30" s="94" customFormat="1">
      <c r="B10" s="114" t="str">
        <f t="shared" si="0"/>
        <v>CSSTODZS</v>
      </c>
      <c r="C10" s="114" t="s">
        <v>638</v>
      </c>
      <c r="D10" s="114" t="str">
        <f>ELC_CCS_Comm!C9</f>
        <v>CO2STODZS</v>
      </c>
      <c r="E10" s="114" t="s">
        <v>645</v>
      </c>
      <c r="F10" s="244" t="s">
        <v>683</v>
      </c>
      <c r="G10" s="114">
        <v>2013</v>
      </c>
      <c r="H10" s="114">
        <v>2020</v>
      </c>
      <c r="I10" s="65">
        <v>1</v>
      </c>
      <c r="J10" s="123">
        <f>$AA$28</f>
        <v>0.39790429899531249</v>
      </c>
      <c r="K10" s="123">
        <f>$AA$46</f>
        <v>1.0802831646931561E-2</v>
      </c>
      <c r="L10" s="94">
        <v>1</v>
      </c>
      <c r="M10" s="94">
        <v>1</v>
      </c>
      <c r="N10" s="94">
        <v>100</v>
      </c>
      <c r="O10" s="94">
        <v>-1</v>
      </c>
      <c r="Q10" s="114">
        <f t="shared" si="1"/>
        <v>27.040510295339487</v>
      </c>
      <c r="Z10" s="193" t="s">
        <v>401</v>
      </c>
      <c r="AA10" s="180">
        <f>5*15*1.1+14</f>
        <v>96.5</v>
      </c>
      <c r="AB10" s="120" t="s">
        <v>395</v>
      </c>
      <c r="AC10" s="180">
        <f>18*15*1.1+14</f>
        <v>311</v>
      </c>
      <c r="AD10" s="181" t="s">
        <v>395</v>
      </c>
    </row>
    <row r="11" spans="2:30" s="94" customFormat="1">
      <c r="B11" s="114" t="str">
        <f t="shared" si="0"/>
        <v>CSSTOSAA</v>
      </c>
      <c r="C11" s="114" t="s">
        <v>639</v>
      </c>
      <c r="D11" s="114" t="str">
        <f>ELC_CCS_Comm!C10</f>
        <v>CO2STOSAA</v>
      </c>
      <c r="E11" s="114" t="s">
        <v>645</v>
      </c>
      <c r="F11" s="244" t="s">
        <v>683</v>
      </c>
      <c r="G11" s="114">
        <v>2013</v>
      </c>
      <c r="H11" s="114">
        <v>2020</v>
      </c>
      <c r="I11" s="65">
        <v>1</v>
      </c>
      <c r="J11" s="123">
        <f>$AC$28</f>
        <v>1.1703067617509191</v>
      </c>
      <c r="K11" s="123">
        <f>$AC$46</f>
        <v>1.0802831646931561E-2</v>
      </c>
      <c r="L11" s="94">
        <v>1</v>
      </c>
      <c r="M11" s="94">
        <v>1</v>
      </c>
      <c r="N11" s="94">
        <v>100</v>
      </c>
      <c r="O11" s="94">
        <v>-1</v>
      </c>
      <c r="Q11" s="114">
        <f t="shared" si="1"/>
        <v>58.560710024601924</v>
      </c>
      <c r="Z11" s="182"/>
      <c r="AA11" s="182">
        <f>+AA10*7.45</f>
        <v>718.92500000000007</v>
      </c>
      <c r="AB11" s="64" t="s">
        <v>394</v>
      </c>
      <c r="AC11" s="182">
        <f>+AC10*7.45</f>
        <v>2316.9500000000003</v>
      </c>
      <c r="AD11" s="183" t="s">
        <v>394</v>
      </c>
    </row>
    <row r="12" spans="2:30" s="94" customFormat="1">
      <c r="B12" s="114" t="str">
        <f t="shared" si="0"/>
        <v>CSSTOSFA</v>
      </c>
      <c r="C12" s="114" t="s">
        <v>640</v>
      </c>
      <c r="D12" s="114" t="str">
        <f>ELC_CCS_Comm!C11</f>
        <v>CO2STOSFA</v>
      </c>
      <c r="E12" s="114" t="s">
        <v>645</v>
      </c>
      <c r="F12" s="244" t="s">
        <v>683</v>
      </c>
      <c r="G12" s="114">
        <v>2013</v>
      </c>
      <c r="H12" s="114">
        <v>2020</v>
      </c>
      <c r="I12" s="65">
        <v>1</v>
      </c>
      <c r="J12" s="123">
        <f>$AC$28</f>
        <v>1.1703067617509191</v>
      </c>
      <c r="K12" s="123">
        <f>$AC$46</f>
        <v>1.0802831646931561E-2</v>
      </c>
      <c r="L12" s="94">
        <v>1</v>
      </c>
      <c r="M12" s="94">
        <v>1</v>
      </c>
      <c r="N12" s="94">
        <v>100</v>
      </c>
      <c r="O12" s="94">
        <v>-1</v>
      </c>
      <c r="Q12" s="114">
        <f t="shared" si="1"/>
        <v>58.560710024601924</v>
      </c>
      <c r="Z12" s="182"/>
      <c r="AA12" s="182">
        <f>+AA11/AA16</f>
        <v>0.34749108464296524</v>
      </c>
      <c r="AB12" s="64" t="s">
        <v>391</v>
      </c>
      <c r="AC12" s="182">
        <f>+AC11/AC16</f>
        <v>1.1198935473985718</v>
      </c>
      <c r="AD12" s="183" t="s">
        <v>391</v>
      </c>
    </row>
    <row r="13" spans="2:30" s="94" customFormat="1">
      <c r="B13" s="114" t="str">
        <f t="shared" si="0"/>
        <v>CSSTODHS</v>
      </c>
      <c r="C13" s="114" t="s">
        <v>641</v>
      </c>
      <c r="D13" s="114" t="str">
        <f>ELC_CCS_Comm!C12</f>
        <v>CO2STODHS</v>
      </c>
      <c r="E13" s="114" t="s">
        <v>645</v>
      </c>
      <c r="F13" s="244" t="s">
        <v>683</v>
      </c>
      <c r="G13" s="114">
        <v>2013</v>
      </c>
      <c r="H13" s="114">
        <v>2020</v>
      </c>
      <c r="I13" s="65">
        <v>1</v>
      </c>
      <c r="J13" s="123">
        <f>$AA$28</f>
        <v>0.39790429899531249</v>
      </c>
      <c r="K13" s="123">
        <f>$AA$46</f>
        <v>1.0802831646931561E-2</v>
      </c>
      <c r="L13" s="94">
        <v>1</v>
      </c>
      <c r="M13" s="94">
        <v>1</v>
      </c>
      <c r="N13" s="94">
        <v>100</v>
      </c>
      <c r="O13" s="94">
        <v>-1</v>
      </c>
      <c r="Q13" s="114">
        <f>-1*PMT(4%,N13,J13*1000)+K13*1000</f>
        <v>27.040510295339487</v>
      </c>
      <c r="Z13" s="182"/>
      <c r="AA13" s="184">
        <f>-1*PMT(6.59%,40,AA11*1000)/AA16</f>
        <v>24.833304257636769</v>
      </c>
      <c r="AB13" s="64" t="s">
        <v>392</v>
      </c>
      <c r="AC13" s="184">
        <f>-1*PMT(6.59%,40,AC11*1000)/AC16</f>
        <v>80.032721493523681</v>
      </c>
      <c r="AD13" s="183" t="s">
        <v>392</v>
      </c>
    </row>
    <row r="14" spans="2:30" s="94" customFormat="1">
      <c r="B14" s="114" t="str">
        <f t="shared" si="0"/>
        <v>CSSTONSA</v>
      </c>
      <c r="C14" s="114" t="s">
        <v>642</v>
      </c>
      <c r="D14" s="114" t="str">
        <f>ELC_CCS_Comm!C13</f>
        <v>CO2STONSA</v>
      </c>
      <c r="E14" s="114" t="s">
        <v>645</v>
      </c>
      <c r="F14" s="244" t="s">
        <v>683</v>
      </c>
      <c r="G14" s="114">
        <v>2013</v>
      </c>
      <c r="H14" s="114">
        <v>2020</v>
      </c>
      <c r="I14" s="65">
        <v>1</v>
      </c>
      <c r="J14" s="123">
        <f>$AC$28</f>
        <v>1.1703067617509191</v>
      </c>
      <c r="K14" s="123">
        <f>$AC$46</f>
        <v>1.0802831646931561E-2</v>
      </c>
      <c r="L14" s="94">
        <v>1</v>
      </c>
      <c r="M14" s="94">
        <v>1</v>
      </c>
      <c r="N14" s="94">
        <v>100</v>
      </c>
      <c r="O14" s="94">
        <v>-1</v>
      </c>
      <c r="Q14" s="114">
        <f t="shared" si="1"/>
        <v>58.560710024601924</v>
      </c>
      <c r="Z14" s="182"/>
      <c r="AA14" s="182">
        <f>AA13/7.45</f>
        <v>3.333329430555271</v>
      </c>
      <c r="AB14" s="64" t="s">
        <v>396</v>
      </c>
      <c r="AC14" s="182">
        <f>AC13/7.45</f>
        <v>10.742647180338748</v>
      </c>
      <c r="AD14" s="183" t="s">
        <v>396</v>
      </c>
    </row>
    <row r="15" spans="2:30" s="94" customFormat="1">
      <c r="B15" s="114" t="str">
        <f t="shared" si="0"/>
        <v>CSSTONMF</v>
      </c>
      <c r="C15" s="114" t="s">
        <v>643</v>
      </c>
      <c r="D15" s="114" t="str">
        <f>ELC_CCS_Comm!C14</f>
        <v>CO2STONMF</v>
      </c>
      <c r="E15" s="114" t="s">
        <v>645</v>
      </c>
      <c r="F15" s="244" t="s">
        <v>683</v>
      </c>
      <c r="G15" s="114">
        <v>2013</v>
      </c>
      <c r="H15" s="114">
        <v>2020</v>
      </c>
      <c r="I15" s="65">
        <v>1</v>
      </c>
      <c r="J15" s="123">
        <f>$AC$18</f>
        <v>1.1198935473985718</v>
      </c>
      <c r="K15" s="123">
        <f>$AC$36</f>
        <v>1.0802831646931561E-2</v>
      </c>
      <c r="L15" s="94">
        <v>1</v>
      </c>
      <c r="M15" s="94">
        <v>1</v>
      </c>
      <c r="N15" s="94">
        <v>100</v>
      </c>
      <c r="O15" s="94">
        <v>-1</v>
      </c>
      <c r="Q15" s="114">
        <f>-1*PMT(4%,N15,J15*1000)+K15*1000</f>
        <v>56.503447571409978</v>
      </c>
      <c r="Z15" s="182"/>
      <c r="AA15" s="185"/>
      <c r="AB15" s="64"/>
      <c r="AC15" s="185"/>
      <c r="AD15" s="183"/>
    </row>
    <row r="16" spans="2:30" s="94" customFormat="1">
      <c r="B16" s="114" t="str">
        <f t="shared" si="0"/>
        <v>CSSTONGA</v>
      </c>
      <c r="C16" s="114" t="s">
        <v>644</v>
      </c>
      <c r="D16" s="114" t="str">
        <f>ELC_CCS_Comm!C15</f>
        <v>CO2STONGA</v>
      </c>
      <c r="E16" s="114" t="s">
        <v>645</v>
      </c>
      <c r="F16" s="244" t="s">
        <v>683</v>
      </c>
      <c r="G16" s="114">
        <v>2013</v>
      </c>
      <c r="H16" s="114">
        <v>2020</v>
      </c>
      <c r="I16" s="65">
        <v>1</v>
      </c>
      <c r="J16" s="123">
        <f>$AC$28</f>
        <v>1.1703067617509191</v>
      </c>
      <c r="K16" s="123">
        <f>$AC$46</f>
        <v>1.0802831646931561E-2</v>
      </c>
      <c r="L16" s="94">
        <v>1</v>
      </c>
      <c r="M16" s="94">
        <v>1</v>
      </c>
      <c r="N16" s="94">
        <v>100</v>
      </c>
      <c r="O16" s="94">
        <v>-1</v>
      </c>
      <c r="Q16" s="114">
        <f t="shared" si="1"/>
        <v>58.560710024601924</v>
      </c>
      <c r="Z16" s="182"/>
      <c r="AA16" s="182">
        <v>2068.902</v>
      </c>
      <c r="AB16" s="64" t="s">
        <v>393</v>
      </c>
      <c r="AC16" s="182">
        <f>$AA$16</f>
        <v>2068.902</v>
      </c>
      <c r="AD16" s="183" t="s">
        <v>393</v>
      </c>
    </row>
    <row r="17" spans="2:30" s="94" customFormat="1">
      <c r="B17" s="114" t="str">
        <f>"CS"&amp;RIGHT(D17,6)</f>
        <v>CSSTODHF</v>
      </c>
      <c r="C17" s="114" t="s">
        <v>689</v>
      </c>
      <c r="D17" s="114" t="str">
        <f>ELC_CCS_Comm!C16</f>
        <v>CO2STODHF</v>
      </c>
      <c r="E17" s="114" t="s">
        <v>645</v>
      </c>
      <c r="F17" s="244" t="s">
        <v>683</v>
      </c>
      <c r="G17" s="114">
        <v>2013</v>
      </c>
      <c r="H17" s="114">
        <v>2020</v>
      </c>
      <c r="I17" s="65">
        <v>1</v>
      </c>
      <c r="J17" s="123">
        <f>$AC$18</f>
        <v>1.1198935473985718</v>
      </c>
      <c r="K17" s="123">
        <f>$AC$36</f>
        <v>1.0802831646931561E-2</v>
      </c>
      <c r="L17" s="94">
        <v>1</v>
      </c>
      <c r="M17" s="94">
        <v>1</v>
      </c>
      <c r="N17" s="94">
        <v>100</v>
      </c>
      <c r="O17" s="94">
        <v>-1</v>
      </c>
      <c r="Q17" s="114">
        <f>-1*PMT(4%,N17,J17*1000)+K17*1000</f>
        <v>56.503447571409978</v>
      </c>
      <c r="Z17" s="182"/>
      <c r="AA17" s="182"/>
      <c r="AB17" s="64"/>
      <c r="AC17" s="182"/>
      <c r="AD17" s="183"/>
    </row>
    <row r="18" spans="2:30" s="94" customFormat="1">
      <c r="B18" s="114" t="str">
        <f>"CS"&amp;RIGHT(D18,6)</f>
        <v>CSSTOISL</v>
      </c>
      <c r="C18" s="114" t="s">
        <v>897</v>
      </c>
      <c r="D18" s="114" t="str">
        <f>ELC_CCS_Comm!C17</f>
        <v>CO2STOISL</v>
      </c>
      <c r="E18" s="114" t="s">
        <v>645</v>
      </c>
      <c r="F18" s="244" t="s">
        <v>683</v>
      </c>
      <c r="G18" s="114">
        <v>2013</v>
      </c>
      <c r="H18" s="114">
        <v>2020</v>
      </c>
      <c r="I18" s="65">
        <v>1</v>
      </c>
      <c r="J18" s="123">
        <f>$AC$18</f>
        <v>1.1198935473985718</v>
      </c>
      <c r="K18" s="123">
        <f>$AC$36</f>
        <v>1.0802831646931561E-2</v>
      </c>
      <c r="L18" s="94">
        <v>1</v>
      </c>
      <c r="M18" s="94">
        <v>1</v>
      </c>
      <c r="N18" s="94">
        <v>100</v>
      </c>
      <c r="O18" s="94">
        <v>-1</v>
      </c>
      <c r="Q18" s="114">
        <f>-1*PMT(4%,N18,J18*1000)+K18*1000</f>
        <v>56.503447571409978</v>
      </c>
      <c r="Z18" s="182"/>
      <c r="AA18" s="182">
        <f>AA11/AA16</f>
        <v>0.34749108464296524</v>
      </c>
      <c r="AB18" s="64" t="s">
        <v>397</v>
      </c>
      <c r="AC18" s="182">
        <f>AC11/AC16</f>
        <v>1.1198935473985718</v>
      </c>
      <c r="AD18" s="183" t="s">
        <v>397</v>
      </c>
    </row>
    <row r="19" spans="2:30" s="94" customFormat="1">
      <c r="B19" s="218"/>
      <c r="C19" s="219"/>
      <c r="D19" s="114"/>
      <c r="E19" s="219"/>
      <c r="F19" s="219"/>
      <c r="G19" s="219"/>
      <c r="H19" s="219"/>
      <c r="I19" s="220"/>
      <c r="J19" s="219"/>
      <c r="K19" s="219"/>
      <c r="L19" s="219"/>
      <c r="M19" s="219"/>
      <c r="N19" s="219"/>
      <c r="O19" s="219"/>
      <c r="Z19" s="182"/>
      <c r="AA19" s="182">
        <f>AA10/AA16</f>
        <v>4.6643098609793987E-2</v>
      </c>
      <c r="AB19" s="64" t="s">
        <v>398</v>
      </c>
      <c r="AC19" s="182">
        <f>AC10/AC16</f>
        <v>0.15032128153000965</v>
      </c>
      <c r="AD19" s="183" t="s">
        <v>398</v>
      </c>
    </row>
    <row r="20" spans="2:30" s="94" customFormat="1">
      <c r="B20" s="218"/>
      <c r="C20" s="219"/>
      <c r="D20" s="114"/>
      <c r="E20" s="219"/>
      <c r="F20" s="219"/>
      <c r="G20" s="219"/>
      <c r="H20" s="219"/>
      <c r="I20" s="220"/>
      <c r="J20" s="219"/>
      <c r="K20" s="219"/>
      <c r="L20" s="219"/>
      <c r="M20" s="219"/>
      <c r="N20" s="219"/>
      <c r="O20" s="219"/>
      <c r="Z20" s="180" t="s">
        <v>402</v>
      </c>
      <c r="AA20" s="180">
        <f>5*15*1.1+28</f>
        <v>110.5</v>
      </c>
      <c r="AB20" s="120" t="s">
        <v>395</v>
      </c>
      <c r="AC20" s="180">
        <f>18*15*1.1+28</f>
        <v>325</v>
      </c>
      <c r="AD20" s="181" t="s">
        <v>395</v>
      </c>
    </row>
    <row r="21" spans="2:30" s="94" customFormat="1">
      <c r="B21" s="218"/>
      <c r="C21" s="219"/>
      <c r="D21" s="219"/>
      <c r="E21" s="219"/>
      <c r="F21" s="219"/>
      <c r="G21" s="219"/>
      <c r="H21" s="219"/>
      <c r="I21" s="220"/>
      <c r="J21" s="219"/>
      <c r="K21" s="219"/>
      <c r="L21" s="219"/>
      <c r="M21" s="219"/>
      <c r="N21" s="219"/>
      <c r="O21" s="219"/>
      <c r="Z21" s="185"/>
      <c r="AA21" s="182">
        <f>+AA20*7.45</f>
        <v>823.22500000000002</v>
      </c>
      <c r="AB21" s="64" t="s">
        <v>394</v>
      </c>
      <c r="AC21" s="182">
        <f>+AC20*7.45</f>
        <v>2421.25</v>
      </c>
      <c r="AD21" s="183" t="s">
        <v>394</v>
      </c>
    </row>
    <row r="22" spans="2:30" s="94" customFormat="1">
      <c r="B22" s="218"/>
      <c r="C22" s="219"/>
      <c r="D22" s="219"/>
      <c r="E22" s="219"/>
      <c r="F22" s="219"/>
      <c r="G22" s="219"/>
      <c r="H22" s="219"/>
      <c r="I22" s="220"/>
      <c r="J22" s="219"/>
      <c r="K22" s="219"/>
      <c r="L22" s="219"/>
      <c r="M22" s="219"/>
      <c r="N22" s="219"/>
      <c r="O22" s="219"/>
      <c r="Z22" s="185"/>
      <c r="AA22" s="182">
        <f>+AA21/AA26</f>
        <v>0.39790429899531249</v>
      </c>
      <c r="AB22" s="64" t="s">
        <v>391</v>
      </c>
      <c r="AC22" s="182">
        <f>+AC21/AC26</f>
        <v>1.1703067617509191</v>
      </c>
      <c r="AD22" s="183" t="s">
        <v>391</v>
      </c>
    </row>
    <row r="23" spans="2:30" s="94" customFormat="1">
      <c r="B23" s="218"/>
      <c r="C23" s="219"/>
      <c r="D23" s="219"/>
      <c r="E23" s="219"/>
      <c r="F23" s="219"/>
      <c r="G23" s="219"/>
      <c r="H23" s="219"/>
      <c r="I23" s="220"/>
      <c r="J23" s="219"/>
      <c r="K23" s="219"/>
      <c r="L23" s="219"/>
      <c r="M23" s="219"/>
      <c r="N23" s="219"/>
      <c r="O23" s="219"/>
      <c r="Z23" s="185"/>
      <c r="AA23" s="184">
        <f>-1*PMT(6.59%,40,AA21*1000)/AA26</f>
        <v>28.436063424547797</v>
      </c>
      <c r="AB23" s="64" t="s">
        <v>392</v>
      </c>
      <c r="AC23" s="184">
        <f>-1*PMT(6.59%,40,AC21*1000)/AC26</f>
        <v>83.635480660434695</v>
      </c>
      <c r="AD23" s="183" t="s">
        <v>392</v>
      </c>
    </row>
    <row r="24" spans="2:30" s="94" customFormat="1">
      <c r="B24" s="218"/>
      <c r="C24" s="219"/>
      <c r="D24" s="219"/>
      <c r="E24" s="219"/>
      <c r="F24" s="219"/>
      <c r="G24" s="219"/>
      <c r="H24" s="219"/>
      <c r="I24" s="220"/>
      <c r="J24" s="219"/>
      <c r="K24" s="219"/>
      <c r="L24" s="219"/>
      <c r="M24" s="219"/>
      <c r="N24" s="219"/>
      <c r="O24" s="219"/>
      <c r="Z24" s="185"/>
      <c r="AA24" s="182">
        <f>AA23/7.45</f>
        <v>3.8169212650399724</v>
      </c>
      <c r="AB24" s="64" t="s">
        <v>396</v>
      </c>
      <c r="AC24" s="182">
        <f>AC23/7.45</f>
        <v>11.226239014823449</v>
      </c>
      <c r="AD24" s="183" t="s">
        <v>396</v>
      </c>
    </row>
    <row r="25" spans="2:30" s="94" customFormat="1">
      <c r="B25" s="218"/>
      <c r="C25" s="219"/>
      <c r="D25" s="219"/>
      <c r="E25" s="219"/>
      <c r="F25" s="219"/>
      <c r="G25" s="219"/>
      <c r="H25" s="219"/>
      <c r="I25" s="220"/>
      <c r="J25" s="219"/>
      <c r="K25" s="219"/>
      <c r="L25" s="219"/>
      <c r="M25" s="219"/>
      <c r="N25" s="219"/>
      <c r="O25" s="219"/>
      <c r="Z25" s="185"/>
      <c r="AA25" s="182"/>
      <c r="AB25" s="64"/>
      <c r="AC25" s="182"/>
      <c r="AD25" s="183"/>
    </row>
    <row r="26" spans="2:30" s="94" customFormat="1">
      <c r="B26" s="218"/>
      <c r="C26" s="219"/>
      <c r="D26" s="219"/>
      <c r="E26" s="219"/>
      <c r="F26" s="219"/>
      <c r="G26" s="219"/>
      <c r="H26" s="219"/>
      <c r="I26" s="220"/>
      <c r="J26" s="219"/>
      <c r="K26" s="219"/>
      <c r="L26" s="219"/>
      <c r="M26" s="219"/>
      <c r="N26" s="219"/>
      <c r="O26" s="219"/>
      <c r="Z26" s="185"/>
      <c r="AA26" s="182">
        <f>$AA$16</f>
        <v>2068.902</v>
      </c>
      <c r="AB26" s="64" t="s">
        <v>393</v>
      </c>
      <c r="AC26" s="182">
        <f>$AA$16</f>
        <v>2068.902</v>
      </c>
      <c r="AD26" s="183" t="s">
        <v>393</v>
      </c>
    </row>
    <row r="27" spans="2:30" s="94" customFormat="1">
      <c r="B27" s="218"/>
      <c r="C27" s="219"/>
      <c r="D27" s="219"/>
      <c r="E27" s="219"/>
      <c r="F27" s="219"/>
      <c r="G27" s="219"/>
      <c r="H27" s="219"/>
      <c r="I27" s="220"/>
      <c r="J27" s="219"/>
      <c r="K27" s="219"/>
      <c r="L27" s="219"/>
      <c r="M27" s="219"/>
      <c r="N27" s="219"/>
      <c r="O27" s="219"/>
      <c r="Z27" s="185"/>
      <c r="AA27" s="185"/>
      <c r="AB27" s="28"/>
      <c r="AC27" s="185"/>
      <c r="AD27" s="186"/>
    </row>
    <row r="28" spans="2:30" s="94" customFormat="1">
      <c r="B28" s="218"/>
      <c r="C28" s="219"/>
      <c r="D28" s="219"/>
      <c r="E28" s="219"/>
      <c r="F28" s="219"/>
      <c r="G28" s="219"/>
      <c r="H28" s="219"/>
      <c r="I28" s="220"/>
      <c r="J28" s="219"/>
      <c r="K28" s="219"/>
      <c r="L28" s="219"/>
      <c r="M28" s="219"/>
      <c r="N28" s="219"/>
      <c r="O28" s="219"/>
      <c r="Z28" s="185"/>
      <c r="AA28" s="182">
        <f>AA21/AA26</f>
        <v>0.39790429899531249</v>
      </c>
      <c r="AB28" s="64" t="s">
        <v>397</v>
      </c>
      <c r="AC28" s="182">
        <f>AC21/AC26</f>
        <v>1.1703067617509191</v>
      </c>
      <c r="AD28" s="183" t="s">
        <v>397</v>
      </c>
    </row>
    <row r="29" spans="2:30" s="94" customFormat="1">
      <c r="B29" s="114"/>
      <c r="C29" s="114"/>
      <c r="D29" s="114"/>
      <c r="E29" s="114"/>
      <c r="F29" s="114"/>
      <c r="G29" s="114"/>
      <c r="H29" s="114"/>
      <c r="I29" s="65"/>
      <c r="J29" s="123"/>
      <c r="K29" s="123"/>
      <c r="U29" s="122"/>
      <c r="Z29" s="191"/>
      <c r="AA29" s="187">
        <f>AA20/AA26</f>
        <v>5.3409973019505029E-2</v>
      </c>
      <c r="AB29" s="58" t="s">
        <v>398</v>
      </c>
      <c r="AC29" s="187">
        <f>AC20/AC26</f>
        <v>0.15708815593972067</v>
      </c>
      <c r="AD29" s="188" t="s">
        <v>398</v>
      </c>
    </row>
    <row r="30" spans="2:30" s="94" customFormat="1">
      <c r="B30" s="114"/>
      <c r="C30" s="114"/>
      <c r="D30" s="114"/>
      <c r="E30" s="114"/>
      <c r="F30" s="114"/>
      <c r="G30" s="114"/>
      <c r="H30" s="114"/>
      <c r="I30" s="65"/>
      <c r="J30" s="123"/>
      <c r="K30" s="122"/>
      <c r="T30" s="123"/>
      <c r="U30" s="122"/>
    </row>
    <row r="31" spans="2:30" s="94" customFormat="1">
      <c r="B31" s="114"/>
      <c r="C31" s="114"/>
      <c r="D31" s="114"/>
      <c r="E31" s="114"/>
      <c r="F31" s="114"/>
      <c r="G31" s="114"/>
      <c r="H31" s="114"/>
      <c r="I31" s="65"/>
      <c r="J31" s="123"/>
      <c r="K31" s="122"/>
      <c r="T31" s="123"/>
      <c r="U31" s="122"/>
      <c r="Z31" s="94" t="s">
        <v>403</v>
      </c>
    </row>
    <row r="32" spans="2:30" s="94" customFormat="1">
      <c r="B32" s="114"/>
      <c r="C32" s="114"/>
      <c r="D32" s="114"/>
      <c r="E32" s="114"/>
      <c r="F32" s="114"/>
      <c r="G32" s="114"/>
      <c r="H32" s="114"/>
      <c r="I32" s="65"/>
      <c r="J32" s="123"/>
      <c r="K32" s="123"/>
      <c r="U32" s="122"/>
      <c r="Z32" s="180"/>
      <c r="AA32" s="192" t="s">
        <v>399</v>
      </c>
      <c r="AB32" s="189"/>
      <c r="AC32" s="192" t="s">
        <v>400</v>
      </c>
      <c r="AD32" s="190"/>
    </row>
    <row r="33" spans="2:30" s="94" customFormat="1">
      <c r="B33" s="114"/>
      <c r="C33" s="114"/>
      <c r="D33" s="114"/>
      <c r="E33" s="114"/>
      <c r="F33" s="114"/>
      <c r="G33" s="114"/>
      <c r="H33" s="114"/>
      <c r="I33" s="65"/>
      <c r="J33" s="123"/>
      <c r="K33" s="123"/>
      <c r="U33" s="122"/>
      <c r="Z33" s="193" t="s">
        <v>401</v>
      </c>
      <c r="AA33" s="180">
        <f>1+2</f>
        <v>3</v>
      </c>
      <c r="AB33" s="120" t="s">
        <v>395</v>
      </c>
      <c r="AC33" s="180">
        <f>1+2</f>
        <v>3</v>
      </c>
      <c r="AD33" s="181" t="s">
        <v>395</v>
      </c>
    </row>
    <row r="34" spans="2:30" s="94" customFormat="1">
      <c r="B34" s="114"/>
      <c r="C34" s="114"/>
      <c r="D34" s="114"/>
      <c r="E34" s="114"/>
      <c r="F34" s="114"/>
      <c r="G34" s="28"/>
      <c r="H34" s="114"/>
      <c r="I34" s="65"/>
      <c r="J34" s="123"/>
      <c r="K34" s="123"/>
      <c r="U34" s="122"/>
      <c r="Z34" s="182"/>
      <c r="AA34" s="182">
        <f>AA33*7.45</f>
        <v>22.35</v>
      </c>
      <c r="AB34" s="64" t="s">
        <v>394</v>
      </c>
      <c r="AC34" s="182">
        <f>AC33*7.45</f>
        <v>22.35</v>
      </c>
      <c r="AD34" s="183" t="s">
        <v>394</v>
      </c>
    </row>
    <row r="35" spans="2:30" s="94" customFormat="1">
      <c r="B35" s="114"/>
      <c r="C35" s="114"/>
      <c r="D35" s="114"/>
      <c r="E35" s="114"/>
      <c r="F35" s="114"/>
      <c r="G35" s="28"/>
      <c r="H35" s="114"/>
      <c r="I35" s="65"/>
      <c r="J35" s="123"/>
      <c r="K35" s="123"/>
      <c r="U35" s="122"/>
      <c r="Z35" s="182"/>
      <c r="AA35" s="182"/>
      <c r="AB35" s="64"/>
      <c r="AC35" s="182"/>
      <c r="AD35" s="183"/>
    </row>
    <row r="36" spans="2:30" s="94" customFormat="1">
      <c r="B36" s="114"/>
      <c r="C36" s="114"/>
      <c r="D36" s="114"/>
      <c r="E36" s="114"/>
      <c r="F36" s="114"/>
      <c r="G36" s="114"/>
      <c r="H36" s="114"/>
      <c r="I36" s="65"/>
      <c r="J36" s="123"/>
      <c r="K36" s="123"/>
      <c r="U36" s="122"/>
      <c r="Z36" s="182"/>
      <c r="AA36" s="184">
        <f>AA34/AA16</f>
        <v>1.0802831646931561E-2</v>
      </c>
      <c r="AB36" s="64" t="s">
        <v>405</v>
      </c>
      <c r="AC36" s="184">
        <f>AC34/AC16</f>
        <v>1.0802831646931561E-2</v>
      </c>
      <c r="AD36" s="183" t="s">
        <v>405</v>
      </c>
    </row>
    <row r="37" spans="2:30" s="94" customFormat="1">
      <c r="B37" s="114"/>
      <c r="C37" s="114"/>
      <c r="D37" s="114"/>
      <c r="E37" s="114"/>
      <c r="F37" s="114"/>
      <c r="G37" s="114"/>
      <c r="H37" s="114"/>
      <c r="I37" s="65"/>
      <c r="J37" s="123"/>
      <c r="K37" s="122"/>
      <c r="T37" s="123"/>
      <c r="U37" s="122"/>
      <c r="Z37" s="182"/>
      <c r="AA37" s="185">
        <f>AA36/7.45</f>
        <v>1.4500445163666525E-3</v>
      </c>
      <c r="AB37" s="61" t="s">
        <v>404</v>
      </c>
      <c r="AC37" s="185">
        <f>AC36/7.45</f>
        <v>1.4500445163666525E-3</v>
      </c>
      <c r="AD37" s="194" t="s">
        <v>404</v>
      </c>
    </row>
    <row r="38" spans="2:30" s="94" customFormat="1">
      <c r="B38" s="114"/>
      <c r="C38" s="114"/>
      <c r="D38" s="114"/>
      <c r="E38" s="114"/>
      <c r="F38" s="114"/>
      <c r="G38" s="114"/>
      <c r="H38" s="114"/>
      <c r="I38" s="65"/>
      <c r="J38" s="123"/>
      <c r="K38" s="122"/>
      <c r="T38" s="123"/>
      <c r="U38" s="122"/>
      <c r="Z38" s="182"/>
      <c r="AA38" s="185"/>
      <c r="AB38" s="64"/>
      <c r="AC38" s="185"/>
      <c r="AD38" s="183"/>
    </row>
    <row r="39" spans="2:30" s="94" customFormat="1">
      <c r="B39" s="114"/>
      <c r="C39" s="114"/>
      <c r="D39" s="114"/>
      <c r="E39" s="114"/>
      <c r="F39" s="114"/>
      <c r="G39" s="114"/>
      <c r="H39" s="114"/>
      <c r="I39" s="65"/>
      <c r="J39" s="123"/>
      <c r="K39" s="123"/>
      <c r="U39" s="122"/>
      <c r="Z39" s="182"/>
      <c r="AA39" s="182"/>
      <c r="AB39" s="64"/>
      <c r="AC39" s="182"/>
      <c r="AD39" s="183"/>
    </row>
    <row r="40" spans="2:30" s="94" customFormat="1">
      <c r="B40" s="114"/>
      <c r="C40" s="114"/>
      <c r="D40" s="114"/>
      <c r="E40" s="114"/>
      <c r="F40" s="114"/>
      <c r="G40" s="114"/>
      <c r="H40" s="114"/>
      <c r="I40" s="65"/>
      <c r="J40" s="123"/>
      <c r="K40" s="123"/>
      <c r="U40" s="122"/>
      <c r="Z40" s="182"/>
      <c r="AA40" s="182"/>
      <c r="AB40" s="64"/>
      <c r="AC40" s="182"/>
      <c r="AD40" s="183"/>
    </row>
    <row r="41" spans="2:30" s="94" customFormat="1">
      <c r="B41" s="114"/>
      <c r="C41" s="114"/>
      <c r="D41" s="114"/>
      <c r="E41" s="114"/>
      <c r="F41" s="114"/>
      <c r="G41" s="28"/>
      <c r="H41" s="114"/>
      <c r="I41" s="65"/>
      <c r="J41" s="123"/>
      <c r="K41" s="123"/>
      <c r="U41" s="122"/>
      <c r="Z41" s="182"/>
      <c r="AA41" s="182"/>
      <c r="AB41" s="64"/>
      <c r="AC41" s="182"/>
      <c r="AD41" s="183"/>
    </row>
    <row r="42" spans="2:30" s="94" customFormat="1">
      <c r="B42" s="114"/>
      <c r="C42" s="114"/>
      <c r="D42" s="114"/>
      <c r="E42" s="114"/>
      <c r="F42" s="114"/>
      <c r="G42" s="28"/>
      <c r="H42" s="114"/>
      <c r="I42" s="65"/>
      <c r="J42" s="123"/>
      <c r="K42" s="123"/>
      <c r="U42" s="122"/>
      <c r="Z42" s="182"/>
      <c r="AA42" s="182"/>
      <c r="AB42" s="64"/>
      <c r="AC42" s="182"/>
      <c r="AD42" s="183"/>
    </row>
    <row r="43" spans="2:30" s="94" customFormat="1">
      <c r="B43" s="114"/>
      <c r="C43" s="114"/>
      <c r="D43" s="114"/>
      <c r="E43" s="114"/>
      <c r="F43" s="114"/>
      <c r="G43" s="114"/>
      <c r="H43" s="114"/>
      <c r="I43" s="65"/>
      <c r="J43" s="123"/>
      <c r="K43" s="123"/>
      <c r="U43" s="123"/>
      <c r="Z43" s="180" t="s">
        <v>402</v>
      </c>
      <c r="AA43" s="180">
        <f>1+2</f>
        <v>3</v>
      </c>
      <c r="AB43" s="120" t="s">
        <v>395</v>
      </c>
      <c r="AC43" s="180">
        <f>1+2</f>
        <v>3</v>
      </c>
      <c r="AD43" s="181" t="s">
        <v>395</v>
      </c>
    </row>
    <row r="44" spans="2:30" s="94" customFormat="1">
      <c r="B44" s="114"/>
      <c r="C44" s="114"/>
      <c r="D44" s="114"/>
      <c r="E44" s="114"/>
      <c r="F44" s="114"/>
      <c r="G44" s="114"/>
      <c r="H44" s="114"/>
      <c r="I44" s="65"/>
      <c r="J44" s="123"/>
      <c r="K44" s="123"/>
      <c r="T44" s="123"/>
      <c r="U44" s="123"/>
      <c r="Z44" s="185"/>
      <c r="AA44" s="182">
        <f>AA43*7.45</f>
        <v>22.35</v>
      </c>
      <c r="AB44" s="64" t="s">
        <v>394</v>
      </c>
      <c r="AC44" s="182">
        <f>AC43*7.45</f>
        <v>22.35</v>
      </c>
      <c r="AD44" s="183" t="s">
        <v>394</v>
      </c>
    </row>
    <row r="45" spans="2:30" s="94" customFormat="1">
      <c r="B45" s="114"/>
      <c r="C45" s="114"/>
      <c r="D45" s="114"/>
      <c r="E45" s="114"/>
      <c r="F45" s="114"/>
      <c r="G45" s="114"/>
      <c r="H45" s="114"/>
      <c r="I45" s="65"/>
      <c r="J45" s="123"/>
      <c r="K45" s="123"/>
      <c r="T45" s="123"/>
      <c r="U45" s="123"/>
      <c r="Z45" s="185"/>
      <c r="AA45" s="182"/>
      <c r="AB45" s="64"/>
      <c r="AC45" s="182"/>
      <c r="AD45" s="183"/>
    </row>
    <row r="46" spans="2:30" s="94" customFormat="1">
      <c r="B46" s="114"/>
      <c r="C46" s="114"/>
      <c r="D46" s="114"/>
      <c r="E46" s="114"/>
      <c r="F46" s="114"/>
      <c r="G46" s="114"/>
      <c r="H46" s="114"/>
      <c r="I46" s="65"/>
      <c r="J46" s="123"/>
      <c r="K46" s="123"/>
      <c r="U46" s="123"/>
      <c r="Z46" s="185"/>
      <c r="AA46" s="184">
        <f>AA44/AA26</f>
        <v>1.0802831646931561E-2</v>
      </c>
      <c r="AB46" s="64" t="s">
        <v>405</v>
      </c>
      <c r="AC46" s="184">
        <f>AC44/AC26</f>
        <v>1.0802831646931561E-2</v>
      </c>
      <c r="AD46" s="183" t="s">
        <v>405</v>
      </c>
    </row>
    <row r="47" spans="2:30" s="94" customFormat="1">
      <c r="B47" s="114"/>
      <c r="C47" s="114"/>
      <c r="D47" s="114"/>
      <c r="E47" s="114"/>
      <c r="F47" s="114"/>
      <c r="G47" s="114"/>
      <c r="H47" s="114"/>
      <c r="I47" s="65"/>
      <c r="J47" s="123"/>
      <c r="K47" s="123"/>
      <c r="L47" s="53"/>
      <c r="M47" s="60"/>
      <c r="U47" s="123"/>
      <c r="Z47" s="185"/>
      <c r="AA47" s="185">
        <f>AA46/7.45</f>
        <v>1.4500445163666525E-3</v>
      </c>
      <c r="AB47" s="61" t="s">
        <v>404</v>
      </c>
      <c r="AC47" s="185">
        <f>AC46/7.45</f>
        <v>1.4500445163666525E-3</v>
      </c>
      <c r="AD47" s="194" t="s">
        <v>404</v>
      </c>
    </row>
    <row r="48" spans="2:30" s="94" customFormat="1">
      <c r="B48" s="114"/>
      <c r="C48" s="114"/>
      <c r="D48" s="114"/>
      <c r="E48" s="114"/>
      <c r="F48" s="114"/>
      <c r="G48" s="28"/>
      <c r="H48" s="114"/>
      <c r="I48" s="65"/>
      <c r="J48" s="123"/>
      <c r="K48" s="123"/>
      <c r="L48" s="114"/>
      <c r="M48" s="114"/>
      <c r="U48" s="123"/>
      <c r="Z48" s="185"/>
      <c r="AA48" s="182"/>
      <c r="AB48" s="64"/>
      <c r="AC48" s="182"/>
      <c r="AD48" s="183"/>
    </row>
    <row r="49" spans="2:31" s="94" customFormat="1">
      <c r="B49" s="114"/>
      <c r="C49" s="114"/>
      <c r="D49" s="114"/>
      <c r="E49" s="114"/>
      <c r="F49" s="114"/>
      <c r="G49" s="28"/>
      <c r="H49" s="114"/>
      <c r="I49" s="65"/>
      <c r="J49" s="123"/>
      <c r="K49" s="123"/>
      <c r="L49" s="53"/>
      <c r="M49" s="60"/>
      <c r="U49" s="123"/>
      <c r="Z49" s="185"/>
      <c r="AA49" s="182"/>
      <c r="AB49" s="64"/>
      <c r="AC49" s="182"/>
      <c r="AD49" s="183"/>
    </row>
    <row r="50" spans="2:31" s="94" customFormat="1">
      <c r="B50" s="114"/>
      <c r="C50" s="114"/>
      <c r="D50" s="114"/>
      <c r="E50" s="114"/>
      <c r="F50" s="114"/>
      <c r="G50" s="114"/>
      <c r="H50" s="114"/>
      <c r="I50" s="65"/>
      <c r="J50" s="123"/>
      <c r="K50" s="123"/>
      <c r="U50" s="123"/>
      <c r="Z50" s="185"/>
      <c r="AA50" s="185"/>
      <c r="AB50" s="28"/>
      <c r="AC50" s="185"/>
      <c r="AD50" s="186"/>
    </row>
    <row r="51" spans="2:31" s="94" customFormat="1">
      <c r="B51" s="114"/>
      <c r="C51" s="114"/>
      <c r="D51" s="114"/>
      <c r="E51" s="114"/>
      <c r="F51" s="114"/>
      <c r="G51" s="114"/>
      <c r="H51" s="114"/>
      <c r="I51" s="65"/>
      <c r="J51" s="123"/>
      <c r="K51" s="123"/>
      <c r="T51" s="123"/>
      <c r="U51" s="123"/>
      <c r="Z51" s="185"/>
      <c r="AA51" s="182"/>
      <c r="AB51" s="64"/>
      <c r="AC51" s="182"/>
      <c r="AD51" s="183"/>
    </row>
    <row r="52" spans="2:31" s="94" customFormat="1">
      <c r="B52" s="114"/>
      <c r="C52" s="114"/>
      <c r="D52" s="114"/>
      <c r="E52" s="114"/>
      <c r="F52" s="114"/>
      <c r="G52" s="114"/>
      <c r="H52" s="114"/>
      <c r="I52" s="65"/>
      <c r="J52" s="123"/>
      <c r="K52" s="123"/>
      <c r="T52" s="123"/>
      <c r="U52" s="123"/>
      <c r="Z52" s="191"/>
      <c r="AA52" s="187"/>
      <c r="AB52" s="58"/>
      <c r="AC52" s="187"/>
      <c r="AD52" s="188"/>
    </row>
    <row r="53" spans="2:31" s="94" customFormat="1">
      <c r="B53" s="114"/>
      <c r="C53" s="114"/>
      <c r="D53" s="114"/>
      <c r="E53" s="114"/>
      <c r="F53" s="114"/>
      <c r="G53" s="114"/>
      <c r="H53" s="114"/>
      <c r="I53" s="65"/>
      <c r="J53" s="123"/>
      <c r="K53" s="123"/>
      <c r="L53" s="53"/>
      <c r="M53" s="60"/>
      <c r="U53" s="123"/>
    </row>
    <row r="54" spans="2:31" s="94" customFormat="1">
      <c r="B54" s="114"/>
      <c r="C54" s="114"/>
      <c r="D54" s="114"/>
      <c r="E54" s="114"/>
      <c r="F54" s="114"/>
      <c r="G54" s="114"/>
      <c r="H54" s="114"/>
      <c r="I54" s="65"/>
      <c r="J54" s="123"/>
      <c r="K54" s="123"/>
      <c r="N54" s="114"/>
      <c r="O54" s="114"/>
      <c r="U54" s="123"/>
    </row>
    <row r="55" spans="2:31" s="94" customFormat="1">
      <c r="B55" s="114"/>
      <c r="C55" s="114"/>
      <c r="D55" s="114"/>
      <c r="E55" s="114"/>
      <c r="F55" s="114"/>
      <c r="G55" s="28"/>
      <c r="H55" s="114"/>
      <c r="I55" s="65"/>
      <c r="J55" s="123"/>
      <c r="K55" s="123"/>
      <c r="L55" s="53"/>
      <c r="M55" s="60"/>
      <c r="N55" s="114"/>
      <c r="O55" s="114"/>
      <c r="U55" s="123"/>
    </row>
    <row r="56" spans="2:31" s="94" customFormat="1">
      <c r="B56" s="114"/>
      <c r="C56" s="114"/>
      <c r="D56" s="114"/>
      <c r="E56" s="114"/>
      <c r="F56" s="114"/>
      <c r="G56" s="28"/>
      <c r="H56" s="114"/>
      <c r="I56" s="65"/>
      <c r="J56" s="123"/>
      <c r="K56" s="123"/>
      <c r="L56" s="114"/>
      <c r="M56" s="114"/>
      <c r="N56" s="114"/>
      <c r="O56" s="114"/>
      <c r="U56" s="123"/>
    </row>
    <row r="57" spans="2:31" s="94" customFormat="1">
      <c r="B57" s="114"/>
      <c r="C57" s="114"/>
      <c r="D57" s="114"/>
      <c r="E57" s="114"/>
      <c r="F57" s="114"/>
      <c r="G57" s="114"/>
      <c r="H57" s="114"/>
      <c r="I57" s="65"/>
      <c r="J57" s="123"/>
      <c r="K57" s="123"/>
      <c r="U57" s="122"/>
    </row>
    <row r="58" spans="2:31" s="94" customFormat="1">
      <c r="B58" s="114"/>
      <c r="C58" s="114"/>
      <c r="D58" s="114"/>
      <c r="E58" s="114"/>
      <c r="F58" s="114"/>
      <c r="G58" s="114"/>
      <c r="H58" s="114"/>
      <c r="I58" s="65"/>
      <c r="J58" s="122"/>
      <c r="K58" s="122"/>
      <c r="T58" s="122"/>
      <c r="U58" s="122"/>
    </row>
    <row r="59" spans="2:31" s="94" customFormat="1">
      <c r="B59" s="114"/>
      <c r="C59" s="114"/>
      <c r="D59" s="114"/>
      <c r="E59" s="114"/>
      <c r="F59" s="114"/>
      <c r="G59" s="114"/>
      <c r="H59" s="114"/>
      <c r="I59" s="65"/>
      <c r="J59" s="122"/>
      <c r="K59" s="122"/>
      <c r="T59" s="122"/>
      <c r="U59" s="122"/>
    </row>
    <row r="60" spans="2:31" s="94" customFormat="1">
      <c r="B60" s="114"/>
      <c r="C60" s="114"/>
      <c r="D60" s="114"/>
      <c r="E60" s="114"/>
      <c r="F60" s="114"/>
      <c r="G60" s="114"/>
      <c r="H60" s="114"/>
      <c r="I60" s="65"/>
      <c r="J60" s="123"/>
      <c r="K60" s="123"/>
      <c r="L60" s="53"/>
      <c r="M60" s="60"/>
      <c r="U60" s="122"/>
    </row>
    <row r="61" spans="2:31" s="94" customFormat="1">
      <c r="B61" s="114"/>
      <c r="C61" s="114"/>
      <c r="D61" s="114"/>
      <c r="E61" s="114"/>
      <c r="F61" s="114"/>
      <c r="G61" s="114"/>
      <c r="H61" s="114"/>
      <c r="I61" s="65"/>
      <c r="J61" s="123"/>
      <c r="K61" s="123"/>
      <c r="N61" s="114"/>
      <c r="O61" s="114"/>
      <c r="U61" s="122"/>
    </row>
    <row r="62" spans="2:31" s="94" customFormat="1">
      <c r="B62" s="114"/>
      <c r="C62" s="114"/>
      <c r="D62" s="114"/>
      <c r="E62" s="114"/>
      <c r="F62" s="114"/>
      <c r="G62" s="28"/>
      <c r="H62" s="114"/>
      <c r="I62" s="65"/>
      <c r="J62" s="123"/>
      <c r="K62" s="123"/>
      <c r="L62" s="53"/>
      <c r="M62" s="60"/>
      <c r="N62" s="114"/>
      <c r="O62" s="114"/>
      <c r="U62" s="122"/>
      <c r="Z62"/>
      <c r="AA62"/>
      <c r="AB62"/>
      <c r="AC62"/>
      <c r="AD62"/>
      <c r="AE62"/>
    </row>
    <row r="63" spans="2:31" s="94" customFormat="1">
      <c r="B63" s="114"/>
      <c r="C63" s="114"/>
      <c r="D63" s="114"/>
      <c r="E63" s="114"/>
      <c r="F63" s="114"/>
      <c r="G63" s="28"/>
      <c r="H63" s="114"/>
      <c r="I63" s="65"/>
      <c r="J63" s="123"/>
      <c r="K63" s="123"/>
      <c r="L63" s="114"/>
      <c r="M63" s="114"/>
      <c r="N63" s="114"/>
      <c r="O63" s="114"/>
      <c r="U63" s="122"/>
      <c r="Z63"/>
      <c r="AA63"/>
      <c r="AB63"/>
      <c r="AC63"/>
      <c r="AD63"/>
      <c r="AE63"/>
    </row>
    <row r="64" spans="2:31" s="94" customFormat="1">
      <c r="B64" s="114"/>
      <c r="C64" s="114"/>
      <c r="D64" s="114"/>
      <c r="E64" s="114"/>
      <c r="F64" s="114"/>
      <c r="G64" s="114"/>
      <c r="H64" s="114"/>
      <c r="I64" s="65"/>
      <c r="J64" s="123"/>
      <c r="K64" s="123"/>
      <c r="U64" s="122"/>
      <c r="Z64"/>
      <c r="AA64"/>
      <c r="AB64"/>
      <c r="AC64"/>
      <c r="AD64"/>
      <c r="AE64"/>
    </row>
    <row r="65" spans="2:31" s="94" customFormat="1">
      <c r="B65" s="114"/>
      <c r="C65" s="114"/>
      <c r="D65" s="114"/>
      <c r="E65" s="114"/>
      <c r="F65" s="114"/>
      <c r="G65" s="114"/>
      <c r="H65" s="114"/>
      <c r="I65" s="65"/>
      <c r="J65" s="122"/>
      <c r="K65" s="122"/>
      <c r="T65" s="122"/>
      <c r="U65" s="122"/>
      <c r="Z65"/>
      <c r="AA65"/>
      <c r="AB65"/>
      <c r="AC65"/>
      <c r="AD65"/>
      <c r="AE65"/>
    </row>
    <row r="66" spans="2:31" s="94" customFormat="1">
      <c r="B66" s="114"/>
      <c r="C66" s="114"/>
      <c r="D66" s="114"/>
      <c r="E66" s="114"/>
      <c r="F66" s="114"/>
      <c r="G66" s="114"/>
      <c r="H66" s="114"/>
      <c r="I66" s="65"/>
      <c r="J66" s="122"/>
      <c r="K66" s="122"/>
      <c r="T66" s="122"/>
      <c r="U66" s="122"/>
      <c r="Z66"/>
      <c r="AA66"/>
      <c r="AB66"/>
      <c r="AC66"/>
      <c r="AD66"/>
      <c r="AE66"/>
    </row>
    <row r="67" spans="2:31" s="94" customFormat="1">
      <c r="B67" s="114"/>
      <c r="C67" s="114"/>
      <c r="D67" s="114"/>
      <c r="E67" s="114"/>
      <c r="F67" s="114"/>
      <c r="G67" s="114"/>
      <c r="H67" s="114"/>
      <c r="I67" s="65"/>
      <c r="J67" s="123"/>
      <c r="K67" s="123"/>
      <c r="L67" s="53"/>
      <c r="M67" s="60"/>
      <c r="U67" s="122"/>
      <c r="Z67"/>
      <c r="AA67"/>
      <c r="AB67"/>
      <c r="AC67"/>
      <c r="AD67"/>
      <c r="AE67"/>
    </row>
    <row r="68" spans="2:31" s="94" customFormat="1">
      <c r="B68" s="114"/>
      <c r="C68" s="114"/>
      <c r="D68" s="114"/>
      <c r="E68" s="114"/>
      <c r="F68" s="114"/>
      <c r="G68" s="114"/>
      <c r="H68" s="114"/>
      <c r="I68" s="65"/>
      <c r="J68" s="123"/>
      <c r="K68" s="123"/>
      <c r="N68" s="114"/>
      <c r="O68" s="114"/>
      <c r="U68" s="122"/>
      <c r="Z68"/>
      <c r="AA68"/>
      <c r="AB68"/>
      <c r="AC68"/>
      <c r="AD68"/>
      <c r="AE68"/>
    </row>
    <row r="69" spans="2:31" s="94" customFormat="1">
      <c r="B69" s="114"/>
      <c r="C69" s="114"/>
      <c r="D69" s="114"/>
      <c r="E69" s="114"/>
      <c r="F69" s="114"/>
      <c r="G69" s="28"/>
      <c r="H69" s="114"/>
      <c r="I69" s="65"/>
      <c r="J69" s="123"/>
      <c r="K69" s="123"/>
      <c r="L69" s="53"/>
      <c r="M69" s="60"/>
      <c r="N69" s="114"/>
      <c r="O69" s="114"/>
      <c r="U69" s="122"/>
      <c r="Z69"/>
      <c r="AA69"/>
      <c r="AB69"/>
      <c r="AC69"/>
      <c r="AD69"/>
      <c r="AE69"/>
    </row>
    <row r="70" spans="2:31" s="94" customFormat="1">
      <c r="B70" s="114"/>
      <c r="C70" s="114"/>
      <c r="D70" s="114"/>
      <c r="E70" s="114"/>
      <c r="F70" s="114"/>
      <c r="G70" s="28"/>
      <c r="H70" s="114"/>
      <c r="I70" s="65"/>
      <c r="J70" s="123"/>
      <c r="K70" s="123"/>
      <c r="L70" s="114"/>
      <c r="M70" s="114"/>
      <c r="N70" s="114"/>
      <c r="O70" s="114"/>
      <c r="U70" s="122"/>
      <c r="Z70"/>
      <c r="AA70"/>
      <c r="AB70"/>
      <c r="AC70"/>
      <c r="AD70"/>
      <c r="AE70"/>
    </row>
    <row r="71" spans="2:31" s="94" customFormat="1">
      <c r="B71" s="114"/>
      <c r="C71" s="114"/>
      <c r="D71" s="114"/>
      <c r="E71" s="114"/>
      <c r="F71" s="114"/>
      <c r="G71" s="114"/>
      <c r="H71" s="114"/>
      <c r="I71" s="65"/>
      <c r="J71" s="123"/>
      <c r="K71" s="123"/>
      <c r="U71" s="122"/>
      <c r="Z71"/>
      <c r="AA71"/>
      <c r="AB71"/>
      <c r="AC71"/>
      <c r="AD71"/>
      <c r="AE71"/>
    </row>
    <row r="72" spans="2:31" s="94" customFormat="1">
      <c r="B72" s="114"/>
      <c r="C72" s="114"/>
      <c r="D72" s="114"/>
      <c r="E72" s="114"/>
      <c r="F72" s="114"/>
      <c r="G72" s="114"/>
      <c r="H72" s="114"/>
      <c r="I72" s="65"/>
      <c r="J72" s="122"/>
      <c r="K72" s="122"/>
      <c r="T72" s="122"/>
      <c r="U72" s="122"/>
      <c r="Z72"/>
      <c r="AA72"/>
      <c r="AB72"/>
      <c r="AC72"/>
      <c r="AD72"/>
      <c r="AE72"/>
    </row>
    <row r="73" spans="2:31" s="94" customFormat="1">
      <c r="B73" s="114"/>
      <c r="C73" s="114"/>
      <c r="D73" s="114"/>
      <c r="E73" s="114"/>
      <c r="F73" s="114"/>
      <c r="G73" s="114"/>
      <c r="H73" s="114"/>
      <c r="I73" s="65"/>
      <c r="J73" s="122"/>
      <c r="K73" s="122"/>
      <c r="T73" s="122"/>
      <c r="U73" s="122"/>
      <c r="Z73"/>
      <c r="AA73"/>
      <c r="AB73"/>
      <c r="AC73"/>
      <c r="AD73"/>
      <c r="AE73"/>
    </row>
    <row r="74" spans="2:31" s="94" customFormat="1">
      <c r="B74" s="114"/>
      <c r="C74" s="114"/>
      <c r="D74" s="114"/>
      <c r="E74" s="114"/>
      <c r="F74" s="114"/>
      <c r="G74" s="114"/>
      <c r="H74" s="114"/>
      <c r="I74" s="65"/>
      <c r="J74" s="123"/>
      <c r="K74" s="123"/>
      <c r="L74" s="53"/>
      <c r="M74" s="60"/>
      <c r="U74" s="122"/>
      <c r="Z74"/>
      <c r="AA74"/>
      <c r="AB74"/>
      <c r="AC74"/>
      <c r="AD74"/>
      <c r="AE74"/>
    </row>
    <row r="75" spans="2:31" s="94" customFormat="1">
      <c r="B75" s="114"/>
      <c r="C75" s="114"/>
      <c r="D75" s="114"/>
      <c r="E75" s="114"/>
      <c r="F75" s="114"/>
      <c r="G75" s="114"/>
      <c r="H75" s="114"/>
      <c r="I75" s="65"/>
      <c r="J75" s="123"/>
      <c r="K75" s="123"/>
      <c r="N75" s="114"/>
      <c r="O75" s="114"/>
      <c r="U75" s="122"/>
      <c r="Z75"/>
      <c r="AA75"/>
      <c r="AB75"/>
      <c r="AC75"/>
      <c r="AD75"/>
      <c r="AE75"/>
    </row>
    <row r="76" spans="2:31" s="94" customFormat="1">
      <c r="B76" s="114"/>
      <c r="C76" s="114"/>
      <c r="D76" s="114"/>
      <c r="E76" s="114"/>
      <c r="F76" s="114"/>
      <c r="G76" s="28"/>
      <c r="H76" s="114"/>
      <c r="I76" s="65"/>
      <c r="J76" s="123"/>
      <c r="K76" s="123"/>
      <c r="L76" s="53"/>
      <c r="M76" s="60"/>
      <c r="N76" s="114"/>
      <c r="O76" s="114"/>
      <c r="U76" s="122"/>
      <c r="Z76"/>
      <c r="AA76"/>
      <c r="AB76"/>
      <c r="AC76"/>
      <c r="AD76"/>
      <c r="AE76"/>
    </row>
    <row r="77" spans="2:31" s="94" customFormat="1">
      <c r="B77" s="114"/>
      <c r="C77" s="114"/>
      <c r="D77" s="114"/>
      <c r="E77" s="114"/>
      <c r="F77" s="114"/>
      <c r="G77" s="28"/>
      <c r="H77" s="114"/>
      <c r="I77" s="65"/>
      <c r="J77" s="123"/>
      <c r="K77" s="123"/>
      <c r="L77" s="114"/>
      <c r="M77" s="114"/>
      <c r="N77" s="114"/>
      <c r="O77" s="114"/>
      <c r="U77" s="122"/>
      <c r="Z77"/>
      <c r="AA77"/>
      <c r="AB77"/>
      <c r="AC77"/>
      <c r="AD77"/>
      <c r="AE77"/>
    </row>
    <row r="78" spans="2:31" s="94" customFormat="1">
      <c r="B78" s="114"/>
      <c r="C78" s="114"/>
      <c r="D78" s="114"/>
      <c r="E78" s="114"/>
      <c r="F78" s="114"/>
      <c r="G78" s="114"/>
      <c r="H78" s="114"/>
      <c r="I78" s="65"/>
      <c r="J78" s="123"/>
      <c r="K78" s="123"/>
      <c r="U78" s="122"/>
      <c r="Z78"/>
      <c r="AA78"/>
      <c r="AB78"/>
      <c r="AC78"/>
      <c r="AD78"/>
      <c r="AE78"/>
    </row>
    <row r="79" spans="2:31" s="94" customFormat="1">
      <c r="B79" s="114"/>
      <c r="C79" s="114"/>
      <c r="D79" s="114"/>
      <c r="E79" s="114"/>
      <c r="F79" s="114"/>
      <c r="G79" s="114"/>
      <c r="H79" s="114"/>
      <c r="I79" s="65"/>
      <c r="J79" s="122"/>
      <c r="K79" s="122"/>
      <c r="T79" s="122"/>
      <c r="U79" s="122"/>
      <c r="Z79"/>
      <c r="AA79"/>
      <c r="AB79"/>
      <c r="AC79"/>
      <c r="AD79"/>
      <c r="AE79"/>
    </row>
    <row r="80" spans="2:31" s="94" customFormat="1">
      <c r="B80" s="114"/>
      <c r="C80" s="114"/>
      <c r="D80" s="114"/>
      <c r="E80" s="114"/>
      <c r="F80" s="114"/>
      <c r="G80" s="114"/>
      <c r="H80" s="114"/>
      <c r="I80" s="65"/>
      <c r="J80" s="122"/>
      <c r="K80" s="122"/>
      <c r="T80" s="122"/>
      <c r="U80" s="122"/>
      <c r="Z80"/>
      <c r="AA80"/>
      <c r="AB80"/>
      <c r="AC80"/>
      <c r="AD80"/>
      <c r="AE80"/>
    </row>
    <row r="81" spans="2:32" s="94" customFormat="1">
      <c r="B81" s="114"/>
      <c r="C81" s="114"/>
      <c r="D81" s="114"/>
      <c r="E81" s="114"/>
      <c r="F81" s="114"/>
      <c r="G81" s="114"/>
      <c r="H81" s="114"/>
      <c r="I81" s="65"/>
      <c r="J81" s="123"/>
      <c r="K81" s="123"/>
      <c r="L81" s="53"/>
      <c r="M81" s="60"/>
      <c r="U81" s="122"/>
      <c r="Z81"/>
      <c r="AA81"/>
      <c r="AB81"/>
      <c r="AC81"/>
      <c r="AD81"/>
      <c r="AE81"/>
    </row>
    <row r="82" spans="2:32" s="94" customFormat="1">
      <c r="B82" s="114"/>
      <c r="C82" s="114"/>
      <c r="D82" s="114"/>
      <c r="E82" s="114"/>
      <c r="F82" s="114"/>
      <c r="G82" s="114"/>
      <c r="H82" s="114"/>
      <c r="I82" s="65"/>
      <c r="J82" s="123"/>
      <c r="K82" s="123"/>
      <c r="N82" s="114"/>
      <c r="O82" s="114"/>
      <c r="U82" s="122"/>
      <c r="Z82"/>
      <c r="AA82"/>
      <c r="AB82"/>
      <c r="AC82"/>
      <c r="AD82"/>
      <c r="AE82"/>
    </row>
    <row r="83" spans="2:32" s="94" customFormat="1">
      <c r="B83" s="114"/>
      <c r="C83" s="114"/>
      <c r="D83" s="114"/>
      <c r="E83" s="114"/>
      <c r="F83" s="114"/>
      <c r="G83" s="28"/>
      <c r="H83" s="114"/>
      <c r="I83" s="65"/>
      <c r="J83" s="123"/>
      <c r="K83" s="123"/>
      <c r="L83" s="53"/>
      <c r="M83" s="60"/>
      <c r="N83" s="114"/>
      <c r="O83" s="114"/>
      <c r="U83" s="122"/>
      <c r="Z83"/>
      <c r="AA83"/>
      <c r="AB83"/>
      <c r="AC83"/>
      <c r="AD83"/>
      <c r="AE83"/>
      <c r="AF83"/>
    </row>
    <row r="84" spans="2:32" s="94" customFormat="1">
      <c r="B84" s="114"/>
      <c r="C84" s="114"/>
      <c r="D84" s="114"/>
      <c r="E84" s="114"/>
      <c r="F84" s="114"/>
      <c r="G84" s="28"/>
      <c r="H84" s="114"/>
      <c r="I84" s="65"/>
      <c r="J84" s="123"/>
      <c r="K84" s="123"/>
      <c r="L84" s="114"/>
      <c r="M84" s="114"/>
      <c r="N84" s="114"/>
      <c r="O84" s="114"/>
      <c r="U84" s="122"/>
      <c r="Z84"/>
      <c r="AA84"/>
      <c r="AB84"/>
      <c r="AC84"/>
      <c r="AD84"/>
      <c r="AE84"/>
      <c r="AF8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70C0"/>
  </sheetPr>
  <dimension ref="B4:P21"/>
  <sheetViews>
    <sheetView showGridLines="0" workbookViewId="0">
      <selection activeCell="N46" sqref="N46"/>
    </sheetView>
  </sheetViews>
  <sheetFormatPr defaultColWidth="9.109375" defaultRowHeight="12.75" customHeight="1"/>
  <cols>
    <col min="1" max="1" width="2.6640625" style="224" customWidth="1"/>
    <col min="2" max="2" width="23.109375" style="224" customWidth="1"/>
    <col min="3" max="3" width="15.109375" style="224" customWidth="1"/>
    <col min="4" max="16384" width="9.109375" style="224"/>
  </cols>
  <sheetData>
    <row r="4" spans="2:16" ht="12.75" customHeight="1">
      <c r="B4" s="221" t="s">
        <v>647</v>
      </c>
      <c r="C4" s="222"/>
      <c r="D4" s="222"/>
      <c r="E4" s="222"/>
      <c r="F4" s="223"/>
      <c r="G4" s="222"/>
      <c r="H4" s="223" t="s">
        <v>648</v>
      </c>
      <c r="I4" s="222"/>
      <c r="J4" s="222"/>
      <c r="K4" s="222"/>
      <c r="L4" s="222"/>
      <c r="M4" s="222"/>
      <c r="N4" s="222"/>
      <c r="O4" s="222"/>
      <c r="P4" s="43"/>
    </row>
    <row r="5" spans="2:16" ht="12.75" customHeight="1">
      <c r="B5" s="224" t="s">
        <v>649</v>
      </c>
      <c r="C5" s="43"/>
      <c r="D5" s="43"/>
      <c r="E5" s="43"/>
      <c r="F5" s="43"/>
      <c r="G5" s="43"/>
      <c r="H5" s="43"/>
      <c r="I5" s="43"/>
      <c r="J5" s="43"/>
      <c r="K5" s="43"/>
      <c r="L5" s="43"/>
      <c r="M5" s="43"/>
      <c r="N5" s="43"/>
      <c r="O5" s="43"/>
      <c r="P5" s="43"/>
    </row>
    <row r="6" spans="2:16" ht="12.75" customHeight="1">
      <c r="B6" s="43"/>
      <c r="C6" s="224" t="s">
        <v>79</v>
      </c>
      <c r="D6" s="43"/>
      <c r="E6" s="43"/>
      <c r="F6" s="224" t="s">
        <v>80</v>
      </c>
      <c r="G6" s="43"/>
      <c r="H6" s="43"/>
      <c r="I6" s="224" t="s">
        <v>650</v>
      </c>
      <c r="J6" s="43"/>
      <c r="K6" s="43"/>
      <c r="L6" s="224" t="s">
        <v>83</v>
      </c>
      <c r="M6" s="43"/>
      <c r="N6" s="43"/>
      <c r="O6" s="224" t="s">
        <v>81</v>
      </c>
      <c r="P6" s="43"/>
    </row>
    <row r="7" spans="2:16" ht="12.75" customHeight="1">
      <c r="B7" s="43"/>
      <c r="C7" s="43"/>
      <c r="D7" s="224" t="s">
        <v>77</v>
      </c>
      <c r="E7" s="43"/>
      <c r="F7" s="43"/>
      <c r="G7" s="224" t="s">
        <v>651</v>
      </c>
      <c r="H7" s="43"/>
      <c r="I7" s="43"/>
      <c r="J7" s="224" t="s">
        <v>89</v>
      </c>
      <c r="K7" s="43"/>
      <c r="L7" s="43"/>
      <c r="M7" s="224" t="s">
        <v>82</v>
      </c>
      <c r="N7" s="43"/>
      <c r="O7" s="43"/>
      <c r="P7" s="43"/>
    </row>
    <row r="8" spans="2:16" ht="12.75" customHeight="1">
      <c r="B8" s="225"/>
      <c r="C8" s="43"/>
      <c r="D8" s="43"/>
      <c r="E8" s="224" t="s">
        <v>78</v>
      </c>
      <c r="F8" s="43"/>
      <c r="G8" s="43"/>
      <c r="H8" s="224" t="s">
        <v>652</v>
      </c>
      <c r="I8" s="43"/>
      <c r="J8" s="43"/>
      <c r="K8" s="224" t="s">
        <v>90</v>
      </c>
      <c r="L8" s="43"/>
      <c r="M8" s="43"/>
      <c r="N8" s="224" t="s">
        <v>91</v>
      </c>
      <c r="O8" s="43"/>
      <c r="P8" s="224" t="s">
        <v>653</v>
      </c>
    </row>
    <row r="9" spans="2:16" ht="12.75" customHeight="1">
      <c r="B9" s="226" t="s">
        <v>44</v>
      </c>
      <c r="C9" s="227" t="s">
        <v>18</v>
      </c>
      <c r="D9" s="228" t="s">
        <v>93</v>
      </c>
      <c r="E9" s="228" t="s">
        <v>94</v>
      </c>
      <c r="F9" s="228" t="s">
        <v>21</v>
      </c>
      <c r="G9" s="228" t="s">
        <v>654</v>
      </c>
      <c r="H9" s="228" t="s">
        <v>182</v>
      </c>
      <c r="I9" s="228" t="s">
        <v>183</v>
      </c>
      <c r="J9" s="228" t="s">
        <v>23</v>
      </c>
      <c r="K9" s="228" t="s">
        <v>22</v>
      </c>
      <c r="L9" s="228" t="s">
        <v>24</v>
      </c>
      <c r="M9" s="228" t="s">
        <v>655</v>
      </c>
      <c r="N9" s="228" t="s">
        <v>58</v>
      </c>
      <c r="O9" s="228" t="s">
        <v>95</v>
      </c>
      <c r="P9" s="228" t="s">
        <v>656</v>
      </c>
    </row>
    <row r="10" spans="2:16" ht="12.75" customHeight="1" thickBot="1">
      <c r="B10" s="229" t="s">
        <v>657</v>
      </c>
      <c r="C10" s="230" t="s">
        <v>658</v>
      </c>
      <c r="D10" s="230" t="s">
        <v>658</v>
      </c>
      <c r="E10" s="230" t="s">
        <v>658</v>
      </c>
      <c r="F10" s="230" t="s">
        <v>658</v>
      </c>
      <c r="G10" s="230" t="s">
        <v>658</v>
      </c>
      <c r="H10" s="230" t="s">
        <v>658</v>
      </c>
      <c r="I10" s="230" t="s">
        <v>658</v>
      </c>
      <c r="J10" s="230" t="s">
        <v>658</v>
      </c>
      <c r="K10" s="230" t="s">
        <v>658</v>
      </c>
      <c r="L10" s="230" t="s">
        <v>658</v>
      </c>
      <c r="M10" s="230" t="s">
        <v>658</v>
      </c>
      <c r="N10" s="230" t="s">
        <v>658</v>
      </c>
      <c r="O10" s="230" t="s">
        <v>658</v>
      </c>
      <c r="P10" s="230" t="s">
        <v>658</v>
      </c>
    </row>
    <row r="11" spans="2:16" ht="12.75" customHeight="1">
      <c r="B11" s="231" t="s">
        <v>659</v>
      </c>
      <c r="C11" s="232">
        <v>94.6</v>
      </c>
      <c r="D11" s="232">
        <v>79.28</v>
      </c>
      <c r="E11" s="232">
        <v>74</v>
      </c>
      <c r="F11" s="232">
        <v>56.95</v>
      </c>
      <c r="G11" s="232">
        <v>0</v>
      </c>
      <c r="H11" s="232">
        <v>0</v>
      </c>
      <c r="I11" s="232">
        <v>0</v>
      </c>
      <c r="J11" s="232">
        <v>0</v>
      </c>
      <c r="K11" s="232">
        <v>37</v>
      </c>
      <c r="L11" s="232">
        <v>0</v>
      </c>
      <c r="M11" s="232">
        <v>0</v>
      </c>
      <c r="N11" s="232">
        <v>0</v>
      </c>
      <c r="O11" s="232">
        <v>0</v>
      </c>
      <c r="P11" s="232">
        <v>0</v>
      </c>
    </row>
    <row r="19" spans="2:9" ht="12.75" customHeight="1">
      <c r="B19" s="234"/>
      <c r="C19" s="235" t="s">
        <v>686</v>
      </c>
      <c r="D19" s="234"/>
      <c r="E19" s="234"/>
      <c r="F19" s="234"/>
      <c r="G19" s="234"/>
      <c r="H19" s="234"/>
      <c r="I19" s="234"/>
    </row>
    <row r="20" spans="2:9" ht="12.75" customHeight="1">
      <c r="B20" s="236" t="s">
        <v>1</v>
      </c>
      <c r="C20" s="237" t="s">
        <v>44</v>
      </c>
      <c r="D20" s="238" t="s">
        <v>665</v>
      </c>
      <c r="E20" s="238" t="s">
        <v>662</v>
      </c>
      <c r="F20" s="238" t="s">
        <v>674</v>
      </c>
      <c r="G20" s="238" t="s">
        <v>675</v>
      </c>
      <c r="H20" s="238" t="s">
        <v>676</v>
      </c>
      <c r="I20" s="238" t="s">
        <v>677</v>
      </c>
    </row>
    <row r="21" spans="2:9" ht="12.75" customHeight="1">
      <c r="B21" s="234" t="s">
        <v>679</v>
      </c>
      <c r="C21" s="234" t="s">
        <v>678</v>
      </c>
      <c r="D21" s="239">
        <v>56.97</v>
      </c>
      <c r="E21" s="240">
        <v>94.6</v>
      </c>
      <c r="F21" s="239">
        <v>74</v>
      </c>
      <c r="G21" s="240">
        <v>79.2</v>
      </c>
      <c r="H21" s="241">
        <v>63.1</v>
      </c>
      <c r="I21" s="240">
        <v>37</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tabColor rgb="FF0070C0"/>
  </sheetPr>
  <dimension ref="B2:Q27"/>
  <sheetViews>
    <sheetView workbookViewId="0">
      <selection activeCell="G12" sqref="G12"/>
    </sheetView>
  </sheetViews>
  <sheetFormatPr defaultColWidth="8.88671875" defaultRowHeight="14.4"/>
  <cols>
    <col min="3" max="7" width="13.44140625" customWidth="1"/>
  </cols>
  <sheetData>
    <row r="2" spans="2:13">
      <c r="B2" s="13" t="s">
        <v>71</v>
      </c>
    </row>
    <row r="4" spans="2:13">
      <c r="C4" s="16" t="s">
        <v>149</v>
      </c>
    </row>
    <row r="5" spans="2:13">
      <c r="B5" t="s">
        <v>150</v>
      </c>
      <c r="C5" s="14" t="s">
        <v>155</v>
      </c>
      <c r="I5" t="s">
        <v>117</v>
      </c>
    </row>
    <row r="6" spans="2:13" s="49" customFormat="1">
      <c r="B6" s="49" t="s">
        <v>151</v>
      </c>
      <c r="C6" s="14" t="s">
        <v>156</v>
      </c>
    </row>
    <row r="7" spans="2:13" s="49" customFormat="1">
      <c r="B7" s="49" t="s">
        <v>152</v>
      </c>
      <c r="C7" s="14" t="s">
        <v>156</v>
      </c>
    </row>
    <row r="9" spans="2:13" ht="15" thickBot="1">
      <c r="C9" s="25" t="s">
        <v>148</v>
      </c>
      <c r="D9" s="12"/>
      <c r="F9" s="25" t="s">
        <v>153</v>
      </c>
      <c r="G9" s="12"/>
      <c r="J9" s="25" t="s">
        <v>154</v>
      </c>
      <c r="K9" s="12"/>
    </row>
    <row r="10" spans="2:13" ht="21" thickBot="1">
      <c r="C10" s="17" t="s">
        <v>142</v>
      </c>
      <c r="D10" s="18" t="s">
        <v>73</v>
      </c>
      <c r="E10" s="49"/>
      <c r="F10" s="17" t="s">
        <v>142</v>
      </c>
      <c r="G10" s="18" t="s">
        <v>73</v>
      </c>
      <c r="H10" s="49"/>
      <c r="I10" s="49"/>
      <c r="J10" s="17" t="s">
        <v>142</v>
      </c>
      <c r="K10" s="18" t="s">
        <v>73</v>
      </c>
    </row>
    <row r="11" spans="2:13" ht="21" thickBot="1">
      <c r="C11" s="19" t="s">
        <v>143</v>
      </c>
      <c r="D11" s="20" t="s">
        <v>146</v>
      </c>
      <c r="E11" s="49"/>
      <c r="F11" s="56" t="s">
        <v>163</v>
      </c>
      <c r="G11" s="20" t="s">
        <v>165</v>
      </c>
      <c r="H11" s="49"/>
      <c r="I11" s="49"/>
      <c r="J11" s="56" t="s">
        <v>161</v>
      </c>
      <c r="K11" s="20" t="s">
        <v>162</v>
      </c>
    </row>
    <row r="12" spans="2:13" ht="21" thickBot="1">
      <c r="C12" s="56" t="s">
        <v>144</v>
      </c>
      <c r="D12" s="20" t="s">
        <v>136</v>
      </c>
      <c r="E12" s="49"/>
      <c r="F12" s="56" t="s">
        <v>164</v>
      </c>
      <c r="G12" s="20" t="s">
        <v>166</v>
      </c>
      <c r="H12" s="49"/>
      <c r="I12" s="49"/>
      <c r="J12" s="56" t="s">
        <v>160</v>
      </c>
      <c r="K12" s="20" t="s">
        <v>102</v>
      </c>
    </row>
    <row r="13" spans="2:13" ht="15" thickBot="1">
      <c r="C13" s="56" t="s">
        <v>145</v>
      </c>
      <c r="D13" s="20" t="s">
        <v>147</v>
      </c>
      <c r="E13" s="49"/>
      <c r="F13" s="63"/>
      <c r="G13" s="63"/>
      <c r="H13" s="49"/>
      <c r="I13" s="49"/>
      <c r="J13" s="49"/>
      <c r="K13" s="49"/>
      <c r="L13" s="49"/>
      <c r="M13" s="49"/>
    </row>
    <row r="14" spans="2:13" s="49" customFormat="1">
      <c r="C14" s="63"/>
      <c r="D14" s="63"/>
      <c r="F14" s="63"/>
      <c r="G14" s="63"/>
    </row>
    <row r="15" spans="2:13" s="49" customFormat="1">
      <c r="C15" s="63"/>
      <c r="D15" s="63"/>
      <c r="F15" s="63"/>
      <c r="G15" s="63"/>
    </row>
    <row r="16" spans="2:13" s="49" customFormat="1">
      <c r="C16" s="63"/>
      <c r="D16" s="63"/>
      <c r="F16" s="63"/>
      <c r="G16" s="63"/>
    </row>
    <row r="17" spans="3:17" s="49" customFormat="1">
      <c r="C17" s="63"/>
      <c r="D17" s="63"/>
      <c r="E17" s="63"/>
      <c r="F17" s="63"/>
      <c r="G17" s="63"/>
      <c r="H17" s="63"/>
      <c r="I17" s="63"/>
      <c r="J17" s="63"/>
    </row>
    <row r="18" spans="3:17">
      <c r="C18" s="25" t="s">
        <v>109</v>
      </c>
    </row>
    <row r="19" spans="3:17" ht="15" thickBot="1">
      <c r="C19" s="21"/>
      <c r="D19" s="22" t="s">
        <v>25</v>
      </c>
    </row>
    <row r="20" spans="3:17">
      <c r="C20" s="363" t="s">
        <v>76</v>
      </c>
      <c r="D20" s="363" t="s">
        <v>77</v>
      </c>
      <c r="E20" s="363" t="s">
        <v>78</v>
      </c>
      <c r="F20" s="363" t="s">
        <v>79</v>
      </c>
      <c r="G20" s="363" t="s">
        <v>80</v>
      </c>
      <c r="H20" s="363" t="s">
        <v>81</v>
      </c>
      <c r="I20" s="363" t="s">
        <v>82</v>
      </c>
      <c r="J20" s="363" t="s">
        <v>83</v>
      </c>
      <c r="K20" s="23" t="s">
        <v>84</v>
      </c>
      <c r="L20" s="23" t="s">
        <v>86</v>
      </c>
      <c r="M20" s="23" t="s">
        <v>88</v>
      </c>
      <c r="N20" s="363" t="s">
        <v>90</v>
      </c>
      <c r="O20" s="363" t="s">
        <v>91</v>
      </c>
      <c r="P20" s="367" t="s">
        <v>111</v>
      </c>
      <c r="Q20" s="365" t="s">
        <v>131</v>
      </c>
    </row>
    <row r="21" spans="3:17" ht="31.2" thickBot="1">
      <c r="C21" s="364"/>
      <c r="D21" s="364"/>
      <c r="E21" s="364"/>
      <c r="F21" s="364"/>
      <c r="G21" s="364"/>
      <c r="H21" s="364"/>
      <c r="I21" s="364"/>
      <c r="J21" s="364"/>
      <c r="K21" s="20" t="s">
        <v>85</v>
      </c>
      <c r="L21" s="20" t="s">
        <v>87</v>
      </c>
      <c r="M21" s="20" t="s">
        <v>89</v>
      </c>
      <c r="N21" s="364"/>
      <c r="O21" s="364"/>
      <c r="P21" s="368"/>
      <c r="Q21" s="366"/>
    </row>
    <row r="22" spans="3:17" ht="15" thickBot="1">
      <c r="C22" s="19" t="s">
        <v>92</v>
      </c>
      <c r="D22" s="24" t="s">
        <v>93</v>
      </c>
      <c r="E22" s="24" t="s">
        <v>94</v>
      </c>
      <c r="F22" s="24" t="s">
        <v>18</v>
      </c>
      <c r="G22" s="24" t="s">
        <v>21</v>
      </c>
      <c r="H22" s="24" t="s">
        <v>95</v>
      </c>
      <c r="I22" s="24" t="s">
        <v>96</v>
      </c>
      <c r="J22" s="24" t="s">
        <v>24</v>
      </c>
      <c r="K22" s="24" t="s">
        <v>20</v>
      </c>
      <c r="L22" s="24" t="s">
        <v>97</v>
      </c>
      <c r="M22" s="24" t="s">
        <v>23</v>
      </c>
      <c r="N22" s="24" t="s">
        <v>22</v>
      </c>
      <c r="O22" s="24" t="s">
        <v>58</v>
      </c>
      <c r="P22" s="26" t="s">
        <v>69</v>
      </c>
      <c r="Q22" s="51" t="s">
        <v>129</v>
      </c>
    </row>
    <row r="23" spans="3:17" ht="15" thickBot="1">
      <c r="C23" s="19" t="s">
        <v>98</v>
      </c>
      <c r="D23" s="20" t="s">
        <v>99</v>
      </c>
      <c r="E23" s="20" t="s">
        <v>100</v>
      </c>
      <c r="F23" s="20" t="s">
        <v>101</v>
      </c>
      <c r="G23" s="20" t="s">
        <v>72</v>
      </c>
      <c r="H23" s="20" t="s">
        <v>102</v>
      </c>
      <c r="I23" s="20" t="s">
        <v>75</v>
      </c>
      <c r="J23" s="20" t="s">
        <v>74</v>
      </c>
      <c r="K23" s="20" t="s">
        <v>103</v>
      </c>
      <c r="L23" s="20" t="s">
        <v>104</v>
      </c>
      <c r="M23" s="20" t="s">
        <v>105</v>
      </c>
      <c r="N23" s="20" t="s">
        <v>106</v>
      </c>
      <c r="O23" s="20" t="s">
        <v>107</v>
      </c>
      <c r="P23" s="27" t="s">
        <v>112</v>
      </c>
      <c r="Q23" s="52" t="s">
        <v>130</v>
      </c>
    </row>
    <row r="24" spans="3:17">
      <c r="C24" s="15"/>
    </row>
    <row r="26" spans="3:17">
      <c r="C26" s="25" t="s">
        <v>110</v>
      </c>
    </row>
    <row r="27" spans="3:17">
      <c r="C27" s="14" t="s">
        <v>108</v>
      </c>
    </row>
  </sheetData>
  <mergeCells count="12">
    <mergeCell ref="H20:H21"/>
    <mergeCell ref="I20:I21"/>
    <mergeCell ref="Q20:Q21"/>
    <mergeCell ref="J20:J21"/>
    <mergeCell ref="N20:N21"/>
    <mergeCell ref="O20:O21"/>
    <mergeCell ref="P20:P21"/>
    <mergeCell ref="C20:C21"/>
    <mergeCell ref="D20:D21"/>
    <mergeCell ref="E20:E21"/>
    <mergeCell ref="F20:F21"/>
    <mergeCell ref="G20:G21"/>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70C0"/>
  </sheetPr>
  <dimension ref="A1:K214"/>
  <sheetViews>
    <sheetView topLeftCell="A71" workbookViewId="0">
      <selection activeCell="J87" sqref="J87"/>
    </sheetView>
  </sheetViews>
  <sheetFormatPr defaultColWidth="9.109375" defaultRowHeight="14.4"/>
  <cols>
    <col min="1" max="1" width="20.44140625" style="134" customWidth="1"/>
    <col min="2" max="2" width="12.44140625" style="134" customWidth="1"/>
    <col min="3" max="9" width="9.109375" style="134"/>
    <col min="10" max="10" width="27.44140625" style="134" customWidth="1"/>
    <col min="11" max="16384" width="9.109375" style="134"/>
  </cols>
  <sheetData>
    <row r="1" spans="1:11" ht="15" thickBot="1">
      <c r="A1" s="12" t="s">
        <v>320</v>
      </c>
    </row>
    <row r="2" spans="1:11" ht="15" thickBot="1">
      <c r="A2" s="163"/>
      <c r="B2" s="162" t="s">
        <v>46</v>
      </c>
      <c r="C2" s="162">
        <v>2013</v>
      </c>
      <c r="D2" s="162">
        <v>2020</v>
      </c>
      <c r="E2" s="162">
        <v>2030</v>
      </c>
      <c r="F2" s="162">
        <v>2040</v>
      </c>
      <c r="G2" s="162">
        <v>2050</v>
      </c>
      <c r="J2" s="12" t="s">
        <v>308</v>
      </c>
    </row>
    <row r="3" spans="1:11" ht="15.6" thickTop="1" thickBot="1">
      <c r="A3" s="372" t="s">
        <v>257</v>
      </c>
      <c r="B3" s="373"/>
      <c r="C3" s="373"/>
      <c r="D3" s="373"/>
      <c r="E3" s="373"/>
      <c r="F3" s="373"/>
      <c r="G3" s="374"/>
      <c r="J3" s="134" t="s">
        <v>307</v>
      </c>
      <c r="K3" s="164">
        <v>7.0000000000000007E-2</v>
      </c>
    </row>
    <row r="4" spans="1:11" ht="15" thickBot="1">
      <c r="A4" s="157" t="s">
        <v>258</v>
      </c>
      <c r="B4" s="153" t="s">
        <v>189</v>
      </c>
      <c r="C4" s="152">
        <v>85</v>
      </c>
      <c r="D4" s="152" t="s">
        <v>318</v>
      </c>
      <c r="E4" s="152" t="s">
        <v>318</v>
      </c>
      <c r="F4" s="152" t="s">
        <v>318</v>
      </c>
      <c r="G4" s="152" t="s">
        <v>318</v>
      </c>
      <c r="J4" s="134" t="s">
        <v>306</v>
      </c>
      <c r="K4" s="164">
        <v>0.41</v>
      </c>
    </row>
    <row r="5" spans="1:11" ht="27" thickBot="1">
      <c r="A5" s="157" t="s">
        <v>259</v>
      </c>
      <c r="B5" s="159" t="s">
        <v>189</v>
      </c>
      <c r="C5" s="158">
        <v>88</v>
      </c>
      <c r="D5" s="158" t="s">
        <v>318</v>
      </c>
      <c r="E5" s="158" t="s">
        <v>318</v>
      </c>
      <c r="F5" s="158" t="s">
        <v>318</v>
      </c>
      <c r="G5" s="158" t="s">
        <v>318</v>
      </c>
      <c r="J5" s="134" t="s">
        <v>305</v>
      </c>
      <c r="K5" s="164">
        <v>0.13</v>
      </c>
    </row>
    <row r="6" spans="1:11" ht="15" thickBot="1">
      <c r="A6" s="157" t="s">
        <v>260</v>
      </c>
      <c r="B6" s="156" t="s">
        <v>189</v>
      </c>
      <c r="C6" s="155">
        <v>220</v>
      </c>
      <c r="D6" s="155" t="s">
        <v>318</v>
      </c>
      <c r="E6" s="155" t="s">
        <v>318</v>
      </c>
      <c r="F6" s="155" t="s">
        <v>318</v>
      </c>
      <c r="G6" s="155" t="s">
        <v>318</v>
      </c>
      <c r="J6" s="134" t="s">
        <v>304</v>
      </c>
      <c r="K6" s="164">
        <v>0.22</v>
      </c>
    </row>
    <row r="7" spans="1:11" ht="15" thickBot="1">
      <c r="A7" s="157" t="s">
        <v>261</v>
      </c>
      <c r="B7" s="159" t="s">
        <v>262</v>
      </c>
      <c r="C7" s="158">
        <v>95</v>
      </c>
      <c r="D7" s="158" t="s">
        <v>318</v>
      </c>
      <c r="E7" s="158" t="s">
        <v>318</v>
      </c>
      <c r="F7" s="158" t="s">
        <v>318</v>
      </c>
      <c r="G7" s="158" t="s">
        <v>318</v>
      </c>
      <c r="J7" s="134" t="s">
        <v>303</v>
      </c>
      <c r="K7" s="164">
        <v>0.17</v>
      </c>
    </row>
    <row r="8" spans="1:11" ht="15" thickBot="1">
      <c r="A8" s="157" t="s">
        <v>263</v>
      </c>
      <c r="B8" s="156" t="s">
        <v>262</v>
      </c>
      <c r="C8" s="155">
        <v>15</v>
      </c>
      <c r="D8" s="155" t="s">
        <v>318</v>
      </c>
      <c r="E8" s="155" t="s">
        <v>318</v>
      </c>
      <c r="F8" s="155" t="s">
        <v>318</v>
      </c>
      <c r="G8" s="155" t="s">
        <v>318</v>
      </c>
    </row>
    <row r="9" spans="1:11" ht="15" thickBot="1">
      <c r="A9" s="157" t="s">
        <v>264</v>
      </c>
      <c r="B9" s="159" t="s">
        <v>265</v>
      </c>
      <c r="C9" s="158">
        <v>30</v>
      </c>
      <c r="D9" s="158" t="s">
        <v>318</v>
      </c>
      <c r="E9" s="158" t="s">
        <v>318</v>
      </c>
      <c r="F9" s="158" t="s">
        <v>318</v>
      </c>
      <c r="G9" s="158" t="s">
        <v>318</v>
      </c>
    </row>
    <row r="10" spans="1:11" ht="15" thickBot="1">
      <c r="A10" s="157" t="s">
        <v>266</v>
      </c>
      <c r="B10" s="156" t="s">
        <v>262</v>
      </c>
      <c r="C10" s="155">
        <v>38</v>
      </c>
      <c r="D10" s="155" t="s">
        <v>318</v>
      </c>
      <c r="E10" s="155" t="s">
        <v>318</v>
      </c>
      <c r="F10" s="155" t="s">
        <v>318</v>
      </c>
      <c r="G10" s="155" t="s">
        <v>318</v>
      </c>
    </row>
    <row r="11" spans="1:11" ht="15" thickBot="1">
      <c r="A11" s="369" t="s">
        <v>269</v>
      </c>
      <c r="B11" s="370"/>
      <c r="C11" s="370"/>
      <c r="D11" s="370"/>
      <c r="E11" s="370"/>
      <c r="F11" s="370"/>
      <c r="G11" s="371"/>
    </row>
    <row r="12" spans="1:11" ht="16.2" thickBot="1">
      <c r="A12" s="157" t="s">
        <v>270</v>
      </c>
      <c r="B12" s="153" t="s">
        <v>271</v>
      </c>
      <c r="C12" s="152">
        <v>770</v>
      </c>
      <c r="D12" s="152" t="s">
        <v>318</v>
      </c>
      <c r="E12" s="152" t="s">
        <v>318</v>
      </c>
      <c r="F12" s="152" t="s">
        <v>318</v>
      </c>
      <c r="G12" s="152" t="s">
        <v>318</v>
      </c>
    </row>
    <row r="13" spans="1:11" ht="16.2" thickBot="1">
      <c r="A13" s="157" t="s">
        <v>272</v>
      </c>
      <c r="B13" s="159" t="s">
        <v>271</v>
      </c>
      <c r="C13" s="158">
        <v>630</v>
      </c>
      <c r="D13" s="158" t="s">
        <v>318</v>
      </c>
      <c r="E13" s="158" t="s">
        <v>318</v>
      </c>
      <c r="F13" s="158" t="s">
        <v>318</v>
      </c>
      <c r="G13" s="158" t="s">
        <v>318</v>
      </c>
    </row>
    <row r="14" spans="1:11" ht="16.2" thickBot="1">
      <c r="A14" s="157" t="s">
        <v>273</v>
      </c>
      <c r="B14" s="156" t="s">
        <v>271</v>
      </c>
      <c r="C14" s="155">
        <v>920</v>
      </c>
      <c r="D14" s="155" t="s">
        <v>318</v>
      </c>
      <c r="E14" s="155" t="s">
        <v>318</v>
      </c>
      <c r="F14" s="155" t="s">
        <v>318</v>
      </c>
      <c r="G14" s="155" t="s">
        <v>318</v>
      </c>
    </row>
    <row r="15" spans="1:11" ht="27" thickBot="1">
      <c r="A15" s="157" t="s">
        <v>319</v>
      </c>
      <c r="B15" s="159"/>
      <c r="C15" s="375" t="s">
        <v>275</v>
      </c>
      <c r="D15" s="376"/>
      <c r="E15" s="376"/>
      <c r="F15" s="376"/>
      <c r="G15" s="377"/>
    </row>
    <row r="16" spans="1:11" ht="15" thickBot="1">
      <c r="A16" s="157" t="s">
        <v>276</v>
      </c>
      <c r="B16" s="156" t="s">
        <v>262</v>
      </c>
      <c r="C16" s="155">
        <v>1</v>
      </c>
      <c r="D16" s="155" t="s">
        <v>318</v>
      </c>
      <c r="E16" s="155" t="s">
        <v>318</v>
      </c>
      <c r="F16" s="155" t="s">
        <v>318</v>
      </c>
      <c r="G16" s="155" t="s">
        <v>318</v>
      </c>
    </row>
    <row r="17" spans="1:7" ht="27" thickBot="1">
      <c r="A17" s="157" t="s">
        <v>278</v>
      </c>
      <c r="B17" s="159" t="s">
        <v>279</v>
      </c>
      <c r="C17" s="158">
        <v>1</v>
      </c>
      <c r="D17" s="158" t="s">
        <v>318</v>
      </c>
      <c r="E17" s="158" t="s">
        <v>318</v>
      </c>
      <c r="F17" s="158" t="s">
        <v>318</v>
      </c>
      <c r="G17" s="158" t="s">
        <v>318</v>
      </c>
    </row>
    <row r="18" spans="1:7" ht="16.2" thickBot="1">
      <c r="A18" s="157" t="s">
        <v>280</v>
      </c>
      <c r="B18" s="156" t="s">
        <v>281</v>
      </c>
      <c r="C18" s="155">
        <v>13</v>
      </c>
      <c r="D18" s="155" t="s">
        <v>318</v>
      </c>
      <c r="E18" s="155" t="s">
        <v>318</v>
      </c>
      <c r="F18" s="155" t="s">
        <v>318</v>
      </c>
      <c r="G18" s="155" t="s">
        <v>318</v>
      </c>
    </row>
    <row r="19" spans="1:7" ht="15" thickBot="1">
      <c r="A19" s="369" t="s">
        <v>284</v>
      </c>
      <c r="B19" s="370"/>
      <c r="C19" s="370"/>
      <c r="D19" s="370"/>
      <c r="E19" s="370"/>
      <c r="F19" s="370"/>
      <c r="G19" s="371"/>
    </row>
    <row r="20" spans="1:7" ht="29.4" thickBot="1">
      <c r="A20" s="157" t="s">
        <v>285</v>
      </c>
      <c r="B20" s="153" t="s">
        <v>286</v>
      </c>
      <c r="C20" s="152">
        <v>635</v>
      </c>
      <c r="D20" s="152" t="s">
        <v>318</v>
      </c>
      <c r="E20" s="152" t="s">
        <v>318</v>
      </c>
      <c r="F20" s="152" t="s">
        <v>318</v>
      </c>
      <c r="G20" s="152" t="s">
        <v>318</v>
      </c>
    </row>
    <row r="21" spans="1:7" ht="29.4" thickBot="1">
      <c r="A21" s="165" t="s">
        <v>287</v>
      </c>
      <c r="B21" s="159" t="s">
        <v>286</v>
      </c>
      <c r="C21" s="158">
        <v>120</v>
      </c>
      <c r="D21" s="158" t="s">
        <v>318</v>
      </c>
      <c r="E21" s="158" t="s">
        <v>318</v>
      </c>
      <c r="F21" s="158" t="s">
        <v>318</v>
      </c>
      <c r="G21" s="158" t="s">
        <v>318</v>
      </c>
    </row>
    <row r="22" spans="1:7" ht="15" thickBot="1">
      <c r="A22" s="157" t="s">
        <v>288</v>
      </c>
      <c r="B22" s="156" t="s">
        <v>289</v>
      </c>
      <c r="C22" s="155" t="s">
        <v>277</v>
      </c>
      <c r="D22" s="155" t="s">
        <v>318</v>
      </c>
      <c r="E22" s="155" t="s">
        <v>318</v>
      </c>
      <c r="F22" s="155" t="s">
        <v>318</v>
      </c>
      <c r="G22" s="155" t="s">
        <v>318</v>
      </c>
    </row>
    <row r="23" spans="1:7" ht="15" thickBot="1">
      <c r="A23" s="157" t="s">
        <v>290</v>
      </c>
      <c r="B23" s="159" t="s">
        <v>289</v>
      </c>
      <c r="C23" s="158" t="s">
        <v>277</v>
      </c>
      <c r="D23" s="158" t="s">
        <v>318</v>
      </c>
      <c r="E23" s="158" t="s">
        <v>318</v>
      </c>
      <c r="F23" s="158" t="s">
        <v>318</v>
      </c>
      <c r="G23" s="158" t="s">
        <v>318</v>
      </c>
    </row>
    <row r="24" spans="1:7" ht="15" thickBot="1">
      <c r="A24" s="369" t="s">
        <v>291</v>
      </c>
      <c r="B24" s="370"/>
      <c r="C24" s="370"/>
      <c r="D24" s="370"/>
      <c r="E24" s="370"/>
      <c r="F24" s="370"/>
      <c r="G24" s="371"/>
    </row>
    <row r="25" spans="1:7" ht="15" thickBot="1">
      <c r="A25" s="154" t="s">
        <v>295</v>
      </c>
      <c r="B25" s="161" t="s">
        <v>293</v>
      </c>
      <c r="C25" s="160" t="s">
        <v>277</v>
      </c>
      <c r="D25" s="160" t="s">
        <v>318</v>
      </c>
      <c r="E25" s="160" t="s">
        <v>318</v>
      </c>
      <c r="F25" s="160" t="s">
        <v>318</v>
      </c>
      <c r="G25" s="160" t="s">
        <v>318</v>
      </c>
    </row>
    <row r="27" spans="1:7" ht="15" thickBot="1">
      <c r="A27" s="12" t="s">
        <v>317</v>
      </c>
    </row>
    <row r="28" spans="1:7" ht="15" thickBot="1">
      <c r="A28" s="163"/>
      <c r="B28" s="162" t="s">
        <v>46</v>
      </c>
      <c r="C28" s="162">
        <v>2013</v>
      </c>
      <c r="D28" s="162">
        <v>2020</v>
      </c>
      <c r="E28" s="162">
        <v>2030</v>
      </c>
      <c r="F28" s="162">
        <v>2040</v>
      </c>
      <c r="G28" s="162">
        <v>2050</v>
      </c>
    </row>
    <row r="29" spans="1:7" ht="15.6" thickTop="1" thickBot="1">
      <c r="A29" s="372" t="s">
        <v>257</v>
      </c>
      <c r="B29" s="373"/>
      <c r="C29" s="373"/>
      <c r="D29" s="373"/>
      <c r="E29" s="373"/>
      <c r="F29" s="373"/>
      <c r="G29" s="374"/>
    </row>
    <row r="30" spans="1:7" ht="15" thickBot="1">
      <c r="A30" s="157" t="s">
        <v>258</v>
      </c>
      <c r="B30" s="153" t="s">
        <v>189</v>
      </c>
      <c r="C30" s="152">
        <v>250</v>
      </c>
      <c r="D30" s="152">
        <v>250</v>
      </c>
      <c r="E30" s="152">
        <v>250</v>
      </c>
      <c r="F30" s="152">
        <v>250</v>
      </c>
      <c r="G30" s="152">
        <v>250</v>
      </c>
    </row>
    <row r="31" spans="1:7" ht="27" thickBot="1">
      <c r="A31" s="157" t="s">
        <v>259</v>
      </c>
      <c r="B31" s="159" t="s">
        <v>189</v>
      </c>
      <c r="C31" s="158">
        <v>260</v>
      </c>
      <c r="D31" s="158">
        <v>260</v>
      </c>
      <c r="E31" s="158">
        <v>260</v>
      </c>
      <c r="F31" s="158">
        <v>260</v>
      </c>
      <c r="G31" s="158">
        <v>260</v>
      </c>
    </row>
    <row r="32" spans="1:7" ht="15" thickBot="1">
      <c r="A32" s="157" t="s">
        <v>260</v>
      </c>
      <c r="B32" s="156" t="s">
        <v>189</v>
      </c>
      <c r="C32" s="155">
        <v>630</v>
      </c>
      <c r="D32" s="155">
        <v>630</v>
      </c>
      <c r="E32" s="155">
        <v>580</v>
      </c>
      <c r="F32" s="155">
        <v>570</v>
      </c>
      <c r="G32" s="155">
        <v>560</v>
      </c>
    </row>
    <row r="33" spans="1:7" ht="15" thickBot="1">
      <c r="A33" s="157" t="s">
        <v>261</v>
      </c>
      <c r="B33" s="159" t="s">
        <v>262</v>
      </c>
      <c r="C33" s="158">
        <v>95</v>
      </c>
      <c r="D33" s="158">
        <v>95</v>
      </c>
      <c r="E33" s="158">
        <v>95</v>
      </c>
      <c r="F33" s="158">
        <v>95</v>
      </c>
      <c r="G33" s="158">
        <v>95</v>
      </c>
    </row>
    <row r="34" spans="1:7" ht="15" thickBot="1">
      <c r="A34" s="157" t="s">
        <v>263</v>
      </c>
      <c r="B34" s="156" t="s">
        <v>262</v>
      </c>
      <c r="C34" s="155">
        <v>15</v>
      </c>
      <c r="D34" s="155">
        <v>15</v>
      </c>
      <c r="E34" s="155">
        <v>15</v>
      </c>
      <c r="F34" s="155">
        <v>15</v>
      </c>
      <c r="G34" s="155">
        <v>15</v>
      </c>
    </row>
    <row r="35" spans="1:7" ht="15" thickBot="1">
      <c r="A35" s="157" t="s">
        <v>264</v>
      </c>
      <c r="B35" s="159" t="s">
        <v>265</v>
      </c>
      <c r="C35" s="158">
        <v>30</v>
      </c>
      <c r="D35" s="158">
        <v>30</v>
      </c>
      <c r="E35" s="158">
        <v>30</v>
      </c>
      <c r="F35" s="158">
        <v>30</v>
      </c>
      <c r="G35" s="158">
        <v>30</v>
      </c>
    </row>
    <row r="36" spans="1:7" ht="15" thickBot="1">
      <c r="A36" s="157" t="s">
        <v>266</v>
      </c>
      <c r="B36" s="156" t="s">
        <v>262</v>
      </c>
      <c r="C36" s="155">
        <v>40</v>
      </c>
      <c r="D36" s="155">
        <v>40</v>
      </c>
      <c r="E36" s="155">
        <v>43</v>
      </c>
      <c r="F36" s="155">
        <v>44</v>
      </c>
      <c r="G36" s="155">
        <v>45</v>
      </c>
    </row>
    <row r="37" spans="1:7" ht="15" thickBot="1">
      <c r="A37" s="369" t="s">
        <v>269</v>
      </c>
      <c r="B37" s="370"/>
      <c r="C37" s="370"/>
      <c r="D37" s="370"/>
      <c r="E37" s="370"/>
      <c r="F37" s="370"/>
      <c r="G37" s="371"/>
    </row>
    <row r="38" spans="1:7" ht="16.2" thickBot="1">
      <c r="A38" s="157" t="s">
        <v>270</v>
      </c>
      <c r="B38" s="153" t="s">
        <v>271</v>
      </c>
      <c r="C38" s="152">
        <v>550</v>
      </c>
      <c r="D38" s="152">
        <v>550</v>
      </c>
      <c r="E38" s="152">
        <v>550</v>
      </c>
      <c r="F38" s="152">
        <v>550</v>
      </c>
      <c r="G38" s="152">
        <v>550</v>
      </c>
    </row>
    <row r="39" spans="1:7" ht="16.2" thickBot="1">
      <c r="A39" s="157" t="s">
        <v>272</v>
      </c>
      <c r="B39" s="159" t="s">
        <v>271</v>
      </c>
      <c r="C39" s="158">
        <v>400</v>
      </c>
      <c r="D39" s="158">
        <v>400</v>
      </c>
      <c r="E39" s="158">
        <v>400</v>
      </c>
      <c r="F39" s="158">
        <v>400</v>
      </c>
      <c r="G39" s="158">
        <v>400</v>
      </c>
    </row>
    <row r="40" spans="1:7" ht="16.2" thickBot="1">
      <c r="A40" s="157" t="s">
        <v>273</v>
      </c>
      <c r="B40" s="156" t="s">
        <v>271</v>
      </c>
      <c r="C40" s="155">
        <v>650</v>
      </c>
      <c r="D40" s="155">
        <v>650</v>
      </c>
      <c r="E40" s="155">
        <v>650</v>
      </c>
      <c r="F40" s="155">
        <v>650</v>
      </c>
      <c r="G40" s="155">
        <v>650</v>
      </c>
    </row>
    <row r="41" spans="1:7" ht="27" thickBot="1">
      <c r="A41" s="157" t="s">
        <v>274</v>
      </c>
      <c r="B41" s="159"/>
      <c r="C41" s="375" t="s">
        <v>275</v>
      </c>
      <c r="D41" s="376"/>
      <c r="E41" s="376"/>
      <c r="F41" s="376"/>
      <c r="G41" s="377"/>
    </row>
    <row r="42" spans="1:7" ht="15" thickBot="1">
      <c r="A42" s="157" t="s">
        <v>276</v>
      </c>
      <c r="B42" s="156" t="s">
        <v>262</v>
      </c>
      <c r="C42" s="155">
        <v>5</v>
      </c>
      <c r="D42" s="155">
        <v>5</v>
      </c>
      <c r="E42" s="155">
        <v>5</v>
      </c>
      <c r="F42" s="155">
        <v>5</v>
      </c>
      <c r="G42" s="155" t="s">
        <v>277</v>
      </c>
    </row>
    <row r="43" spans="1:7" ht="27" thickBot="1">
      <c r="A43" s="157" t="s">
        <v>278</v>
      </c>
      <c r="B43" s="159" t="s">
        <v>279</v>
      </c>
      <c r="C43" s="158">
        <v>3</v>
      </c>
      <c r="D43" s="158">
        <v>3</v>
      </c>
      <c r="E43" s="158">
        <v>3</v>
      </c>
      <c r="F43" s="158">
        <v>3</v>
      </c>
      <c r="G43" s="158">
        <v>3</v>
      </c>
    </row>
    <row r="44" spans="1:7" ht="16.2" thickBot="1">
      <c r="A44" s="157" t="s">
        <v>280</v>
      </c>
      <c r="B44" s="156" t="s">
        <v>281</v>
      </c>
      <c r="C44" s="155">
        <v>11</v>
      </c>
      <c r="D44" s="155">
        <v>11</v>
      </c>
      <c r="E44" s="155">
        <v>11</v>
      </c>
      <c r="F44" s="155">
        <v>11</v>
      </c>
      <c r="G44" s="155">
        <v>11</v>
      </c>
    </row>
    <row r="45" spans="1:7" ht="15" thickBot="1">
      <c r="A45" s="369" t="s">
        <v>284</v>
      </c>
      <c r="B45" s="370"/>
      <c r="C45" s="370"/>
      <c r="D45" s="370"/>
      <c r="E45" s="370"/>
      <c r="F45" s="370"/>
      <c r="G45" s="371"/>
    </row>
    <row r="46" spans="1:7" ht="29.4" thickBot="1">
      <c r="A46" s="157" t="s">
        <v>285</v>
      </c>
      <c r="B46" s="153" t="s">
        <v>286</v>
      </c>
      <c r="C46" s="152">
        <v>575</v>
      </c>
      <c r="D46" s="152">
        <v>575</v>
      </c>
      <c r="E46" s="152">
        <v>535</v>
      </c>
      <c r="F46" s="152">
        <v>525</v>
      </c>
      <c r="G46" s="152">
        <v>510</v>
      </c>
    </row>
    <row r="47" spans="1:7" ht="29.4" thickBot="1">
      <c r="A47" s="157" t="s">
        <v>287</v>
      </c>
      <c r="B47" s="159" t="s">
        <v>286</v>
      </c>
      <c r="C47" s="158">
        <v>110</v>
      </c>
      <c r="D47" s="158">
        <v>110</v>
      </c>
      <c r="E47" s="158">
        <v>100</v>
      </c>
      <c r="F47" s="158">
        <v>100</v>
      </c>
      <c r="G47" s="158">
        <v>100</v>
      </c>
    </row>
    <row r="48" spans="1:7" ht="15" thickBot="1">
      <c r="A48" s="157" t="s">
        <v>288</v>
      </c>
      <c r="B48" s="156" t="s">
        <v>289</v>
      </c>
      <c r="C48" s="155" t="s">
        <v>277</v>
      </c>
      <c r="D48" s="155" t="s">
        <v>277</v>
      </c>
      <c r="E48" s="155" t="s">
        <v>277</v>
      </c>
      <c r="F48" s="155" t="s">
        <v>277</v>
      </c>
      <c r="G48" s="155" t="s">
        <v>277</v>
      </c>
    </row>
    <row r="49" spans="1:7" ht="15" thickBot="1">
      <c r="A49" s="157" t="s">
        <v>290</v>
      </c>
      <c r="B49" s="159" t="s">
        <v>289</v>
      </c>
      <c r="C49" s="158" t="s">
        <v>277</v>
      </c>
      <c r="D49" s="158" t="s">
        <v>277</v>
      </c>
      <c r="E49" s="158" t="s">
        <v>277</v>
      </c>
      <c r="F49" s="158" t="s">
        <v>277</v>
      </c>
      <c r="G49" s="158" t="s">
        <v>277</v>
      </c>
    </row>
    <row r="50" spans="1:7" ht="15" thickBot="1">
      <c r="A50" s="369" t="s">
        <v>291</v>
      </c>
      <c r="B50" s="370"/>
      <c r="C50" s="370"/>
      <c r="D50" s="370"/>
      <c r="E50" s="370"/>
      <c r="F50" s="370"/>
      <c r="G50" s="371"/>
    </row>
    <row r="51" spans="1:7" ht="15" thickBot="1">
      <c r="A51" s="154" t="s">
        <v>295</v>
      </c>
      <c r="B51" s="161" t="s">
        <v>293</v>
      </c>
      <c r="C51" s="160" t="s">
        <v>277</v>
      </c>
      <c r="D51" s="160" t="s">
        <v>277</v>
      </c>
      <c r="E51" s="160" t="s">
        <v>277</v>
      </c>
      <c r="F51" s="160" t="s">
        <v>277</v>
      </c>
      <c r="G51" s="160" t="s">
        <v>277</v>
      </c>
    </row>
    <row r="53" spans="1:7" ht="15" thickBot="1">
      <c r="A53" s="12" t="s">
        <v>316</v>
      </c>
    </row>
    <row r="54" spans="1:7" ht="15" thickBot="1">
      <c r="A54" s="163"/>
      <c r="B54" s="162" t="s">
        <v>46</v>
      </c>
      <c r="C54" s="162">
        <v>2013</v>
      </c>
      <c r="D54" s="162">
        <v>2020</v>
      </c>
      <c r="E54" s="162">
        <v>2030</v>
      </c>
      <c r="F54" s="162">
        <v>2040</v>
      </c>
      <c r="G54" s="162">
        <v>2050</v>
      </c>
    </row>
    <row r="55" spans="1:7" ht="15.6" thickTop="1" thickBot="1">
      <c r="A55" s="372" t="s">
        <v>257</v>
      </c>
      <c r="B55" s="373"/>
      <c r="C55" s="373"/>
      <c r="D55" s="373"/>
      <c r="E55" s="373"/>
      <c r="F55" s="373"/>
      <c r="G55" s="374"/>
    </row>
    <row r="56" spans="1:7" ht="15" thickBot="1">
      <c r="A56" s="157" t="s">
        <v>258</v>
      </c>
      <c r="B56" s="153" t="s">
        <v>189</v>
      </c>
      <c r="C56" s="152">
        <v>580</v>
      </c>
      <c r="D56" s="152">
        <v>580</v>
      </c>
      <c r="E56" s="152">
        <v>580</v>
      </c>
      <c r="F56" s="152">
        <v>580</v>
      </c>
      <c r="G56" s="152">
        <v>580</v>
      </c>
    </row>
    <row r="57" spans="1:7" ht="27" thickBot="1">
      <c r="A57" s="157" t="s">
        <v>259</v>
      </c>
      <c r="B57" s="159" t="s">
        <v>189</v>
      </c>
      <c r="C57" s="158">
        <v>600</v>
      </c>
      <c r="D57" s="158">
        <v>600</v>
      </c>
      <c r="E57" s="158">
        <v>600</v>
      </c>
      <c r="F57" s="158">
        <v>600</v>
      </c>
      <c r="G57" s="158">
        <v>600</v>
      </c>
    </row>
    <row r="58" spans="1:7" ht="15" thickBot="1">
      <c r="A58" s="157" t="s">
        <v>260</v>
      </c>
      <c r="B58" s="156" t="s">
        <v>189</v>
      </c>
      <c r="C58" s="155">
        <v>1000</v>
      </c>
      <c r="D58" s="155">
        <v>965</v>
      </c>
      <c r="E58" s="155">
        <v>935</v>
      </c>
      <c r="F58" s="155">
        <v>935</v>
      </c>
      <c r="G58" s="155">
        <v>920</v>
      </c>
    </row>
    <row r="59" spans="1:7" ht="15" thickBot="1">
      <c r="A59" s="157" t="s">
        <v>261</v>
      </c>
      <c r="B59" s="159" t="s">
        <v>262</v>
      </c>
      <c r="C59" s="158">
        <v>90</v>
      </c>
      <c r="D59" s="158">
        <v>90</v>
      </c>
      <c r="E59" s="158">
        <v>90</v>
      </c>
      <c r="F59" s="158">
        <v>90</v>
      </c>
      <c r="G59" s="158">
        <v>90</v>
      </c>
    </row>
    <row r="60" spans="1:7" ht="15" thickBot="1">
      <c r="A60" s="157" t="s">
        <v>263</v>
      </c>
      <c r="B60" s="156" t="s">
        <v>262</v>
      </c>
      <c r="C60" s="155">
        <v>85</v>
      </c>
      <c r="D60" s="155">
        <v>85</v>
      </c>
      <c r="E60" s="155">
        <v>85</v>
      </c>
      <c r="F60" s="155">
        <v>85</v>
      </c>
      <c r="G60" s="155">
        <v>85</v>
      </c>
    </row>
    <row r="61" spans="1:7" ht="15" thickBot="1">
      <c r="A61" s="157" t="s">
        <v>264</v>
      </c>
      <c r="B61" s="159" t="s">
        <v>265</v>
      </c>
      <c r="C61" s="158">
        <v>30</v>
      </c>
      <c r="D61" s="158">
        <v>30</v>
      </c>
      <c r="E61" s="158">
        <v>30</v>
      </c>
      <c r="F61" s="158">
        <v>30</v>
      </c>
      <c r="G61" s="158">
        <v>30</v>
      </c>
    </row>
    <row r="62" spans="1:7" ht="15" thickBot="1">
      <c r="A62" s="157" t="s">
        <v>266</v>
      </c>
      <c r="B62" s="156" t="s">
        <v>262</v>
      </c>
      <c r="C62" s="155">
        <v>58</v>
      </c>
      <c r="D62" s="155">
        <v>60</v>
      </c>
      <c r="E62" s="155">
        <v>62</v>
      </c>
      <c r="F62" s="155">
        <v>62</v>
      </c>
      <c r="G62" s="155">
        <v>63</v>
      </c>
    </row>
    <row r="63" spans="1:7" ht="15" thickBot="1">
      <c r="A63" s="369" t="s">
        <v>269</v>
      </c>
      <c r="B63" s="370"/>
      <c r="C63" s="370"/>
      <c r="D63" s="370"/>
      <c r="E63" s="370"/>
      <c r="F63" s="370"/>
      <c r="G63" s="371"/>
    </row>
    <row r="64" spans="1:7" ht="16.2" thickBot="1">
      <c r="A64" s="157" t="s">
        <v>270</v>
      </c>
      <c r="B64" s="153" t="s">
        <v>271</v>
      </c>
      <c r="C64" s="152">
        <v>850</v>
      </c>
      <c r="D64" s="152">
        <v>850</v>
      </c>
      <c r="E64" s="152">
        <v>850</v>
      </c>
      <c r="F64" s="152">
        <v>850</v>
      </c>
      <c r="G64" s="152">
        <v>850</v>
      </c>
    </row>
    <row r="65" spans="1:10" ht="16.2" thickBot="1">
      <c r="A65" s="157" t="s">
        <v>272</v>
      </c>
      <c r="B65" s="159" t="s">
        <v>271</v>
      </c>
      <c r="C65" s="158">
        <v>700</v>
      </c>
      <c r="D65" s="158">
        <v>700</v>
      </c>
      <c r="E65" s="158">
        <v>700</v>
      </c>
      <c r="F65" s="158">
        <v>700</v>
      </c>
      <c r="G65" s="158">
        <v>700</v>
      </c>
    </row>
    <row r="66" spans="1:10" ht="16.2" thickBot="1">
      <c r="A66" s="157" t="s">
        <v>273</v>
      </c>
      <c r="B66" s="156" t="s">
        <v>271</v>
      </c>
      <c r="C66" s="155">
        <v>950</v>
      </c>
      <c r="D66" s="155">
        <v>950</v>
      </c>
      <c r="E66" s="155">
        <v>950</v>
      </c>
      <c r="F66" s="155">
        <v>950</v>
      </c>
      <c r="G66" s="155">
        <v>950</v>
      </c>
    </row>
    <row r="67" spans="1:10" ht="27" thickBot="1">
      <c r="A67" s="157" t="s">
        <v>274</v>
      </c>
      <c r="B67" s="159"/>
      <c r="C67" s="375" t="s">
        <v>275</v>
      </c>
      <c r="D67" s="376"/>
      <c r="E67" s="376"/>
      <c r="F67" s="376"/>
      <c r="G67" s="377"/>
    </row>
    <row r="68" spans="1:10" ht="15" thickBot="1">
      <c r="A68" s="157" t="s">
        <v>276</v>
      </c>
      <c r="B68" s="156" t="s">
        <v>262</v>
      </c>
      <c r="C68" s="155">
        <v>5</v>
      </c>
      <c r="D68" s="155">
        <v>5</v>
      </c>
      <c r="E68" s="155">
        <v>5</v>
      </c>
      <c r="F68" s="155">
        <v>5</v>
      </c>
      <c r="G68" s="155" t="s">
        <v>277</v>
      </c>
    </row>
    <row r="69" spans="1:10" ht="27" thickBot="1">
      <c r="A69" s="157" t="s">
        <v>278</v>
      </c>
      <c r="B69" s="159" t="s">
        <v>279</v>
      </c>
      <c r="C69" s="158">
        <v>2.5</v>
      </c>
      <c r="D69" s="158">
        <v>2.5</v>
      </c>
      <c r="E69" s="158">
        <v>2.5</v>
      </c>
      <c r="F69" s="158">
        <v>2.5</v>
      </c>
      <c r="G69" s="158">
        <v>2.5</v>
      </c>
    </row>
    <row r="70" spans="1:10" ht="16.2" thickBot="1">
      <c r="A70" s="157" t="s">
        <v>280</v>
      </c>
      <c r="B70" s="156" t="s">
        <v>281</v>
      </c>
      <c r="C70" s="155">
        <v>2</v>
      </c>
      <c r="D70" s="155">
        <v>2</v>
      </c>
      <c r="E70" s="155">
        <v>2</v>
      </c>
      <c r="F70" s="155">
        <v>2</v>
      </c>
      <c r="G70" s="155">
        <v>2</v>
      </c>
    </row>
    <row r="71" spans="1:10" ht="15" thickBot="1">
      <c r="A71" s="369" t="s">
        <v>284</v>
      </c>
      <c r="B71" s="370"/>
      <c r="C71" s="370"/>
      <c r="D71" s="370"/>
      <c r="E71" s="370"/>
      <c r="F71" s="370"/>
      <c r="G71" s="371"/>
    </row>
    <row r="72" spans="1:10" ht="29.4" thickBot="1">
      <c r="A72" s="157" t="s">
        <v>285</v>
      </c>
      <c r="B72" s="153" t="s">
        <v>286</v>
      </c>
      <c r="C72" s="152">
        <v>370</v>
      </c>
      <c r="D72" s="152">
        <v>360</v>
      </c>
      <c r="E72" s="152">
        <v>350</v>
      </c>
      <c r="F72" s="152">
        <v>350</v>
      </c>
      <c r="G72" s="152">
        <v>340</v>
      </c>
    </row>
    <row r="73" spans="1:10" ht="29.4" thickBot="1">
      <c r="A73" s="157" t="s">
        <v>287</v>
      </c>
      <c r="B73" s="159" t="s">
        <v>286</v>
      </c>
      <c r="C73" s="158">
        <v>70</v>
      </c>
      <c r="D73" s="158">
        <v>68</v>
      </c>
      <c r="E73" s="158">
        <v>65</v>
      </c>
      <c r="F73" s="158">
        <v>65</v>
      </c>
      <c r="G73" s="158">
        <v>64</v>
      </c>
    </row>
    <row r="74" spans="1:10" ht="15" thickBot="1">
      <c r="A74" s="157" t="s">
        <v>288</v>
      </c>
      <c r="B74" s="156" t="s">
        <v>289</v>
      </c>
      <c r="C74" s="155">
        <v>750</v>
      </c>
      <c r="D74" s="155">
        <v>725</v>
      </c>
      <c r="E74" s="155">
        <v>700</v>
      </c>
      <c r="F74" s="155">
        <v>700</v>
      </c>
      <c r="G74" s="155">
        <v>690</v>
      </c>
    </row>
    <row r="75" spans="1:10" ht="15" thickBot="1">
      <c r="A75" s="157" t="s">
        <v>290</v>
      </c>
      <c r="B75" s="159" t="s">
        <v>289</v>
      </c>
      <c r="C75" s="158">
        <v>980</v>
      </c>
      <c r="D75" s="158">
        <v>945</v>
      </c>
      <c r="E75" s="158">
        <v>915</v>
      </c>
      <c r="F75" s="158">
        <v>915</v>
      </c>
      <c r="G75" s="158">
        <v>900</v>
      </c>
    </row>
    <row r="76" spans="1:10" ht="15" thickBot="1">
      <c r="A76" s="369" t="s">
        <v>291</v>
      </c>
      <c r="B76" s="370"/>
      <c r="C76" s="370"/>
      <c r="D76" s="370"/>
      <c r="E76" s="370"/>
      <c r="F76" s="370"/>
      <c r="G76" s="371"/>
    </row>
    <row r="77" spans="1:10" ht="15" thickBot="1">
      <c r="A77" s="154" t="s">
        <v>295</v>
      </c>
      <c r="B77" s="161" t="s">
        <v>293</v>
      </c>
      <c r="C77" s="160" t="s">
        <v>277</v>
      </c>
      <c r="D77" s="160" t="s">
        <v>277</v>
      </c>
      <c r="E77" s="160" t="s">
        <v>277</v>
      </c>
      <c r="F77" s="160" t="s">
        <v>277</v>
      </c>
      <c r="G77" s="160" t="s">
        <v>277</v>
      </c>
    </row>
    <row r="79" spans="1:10" ht="15" thickBot="1">
      <c r="A79" s="151" t="s">
        <v>315</v>
      </c>
    </row>
    <row r="80" spans="1:10" ht="15" thickBot="1">
      <c r="A80" s="163"/>
      <c r="B80" s="162" t="s">
        <v>46</v>
      </c>
      <c r="C80" s="162">
        <v>2013</v>
      </c>
      <c r="D80" s="162">
        <v>2020</v>
      </c>
      <c r="E80" s="162">
        <v>2030</v>
      </c>
      <c r="F80" s="162">
        <v>2040</v>
      </c>
      <c r="G80" s="162">
        <v>2050</v>
      </c>
      <c r="J80" s="12" t="s">
        <v>308</v>
      </c>
    </row>
    <row r="81" spans="1:11" ht="15.6" thickTop="1" thickBot="1">
      <c r="A81" s="372" t="s">
        <v>257</v>
      </c>
      <c r="B81" s="373"/>
      <c r="C81" s="373"/>
      <c r="D81" s="373"/>
      <c r="E81" s="373"/>
      <c r="F81" s="373"/>
      <c r="G81" s="374"/>
      <c r="J81" s="134" t="s">
        <v>307</v>
      </c>
      <c r="K81" s="164">
        <v>0.11</v>
      </c>
    </row>
    <row r="82" spans="1:11" ht="15" thickBot="1">
      <c r="A82" s="157" t="s">
        <v>258</v>
      </c>
      <c r="B82" s="153" t="s">
        <v>189</v>
      </c>
      <c r="C82" s="152">
        <v>750</v>
      </c>
      <c r="D82" s="152">
        <v>750</v>
      </c>
      <c r="E82" s="152">
        <v>750</v>
      </c>
      <c r="F82" s="152">
        <v>750</v>
      </c>
      <c r="G82" s="152">
        <v>750</v>
      </c>
      <c r="J82" s="134" t="s">
        <v>306</v>
      </c>
      <c r="K82" s="164">
        <v>0.4</v>
      </c>
    </row>
    <row r="83" spans="1:11" ht="27" thickBot="1">
      <c r="A83" s="157" t="s">
        <v>259</v>
      </c>
      <c r="B83" s="159" t="s">
        <v>189</v>
      </c>
      <c r="C83" s="158">
        <v>790</v>
      </c>
      <c r="D83" s="158">
        <v>790</v>
      </c>
      <c r="E83" s="158">
        <v>790</v>
      </c>
      <c r="F83" s="158">
        <v>790</v>
      </c>
      <c r="G83" s="158">
        <v>790</v>
      </c>
      <c r="J83" s="134" t="s">
        <v>305</v>
      </c>
      <c r="K83" s="164">
        <v>0.06</v>
      </c>
    </row>
    <row r="84" spans="1:11" ht="15" thickBot="1">
      <c r="A84" s="157" t="s">
        <v>260</v>
      </c>
      <c r="B84" s="156" t="s">
        <v>189</v>
      </c>
      <c r="C84" s="155">
        <v>1670</v>
      </c>
      <c r="D84" s="155">
        <v>1630</v>
      </c>
      <c r="E84" s="155">
        <v>1560</v>
      </c>
      <c r="F84" s="155">
        <v>1560</v>
      </c>
      <c r="G84" s="155">
        <v>1560</v>
      </c>
      <c r="J84" s="134" t="s">
        <v>304</v>
      </c>
      <c r="K84" s="164">
        <v>0.26</v>
      </c>
    </row>
    <row r="85" spans="1:11" ht="15" thickBot="1">
      <c r="A85" s="157" t="s">
        <v>261</v>
      </c>
      <c r="B85" s="159" t="s">
        <v>262</v>
      </c>
      <c r="C85" s="158">
        <v>90</v>
      </c>
      <c r="D85" s="158">
        <v>90</v>
      </c>
      <c r="E85" s="158">
        <v>90</v>
      </c>
      <c r="F85" s="158">
        <v>90</v>
      </c>
      <c r="G85" s="158">
        <v>90</v>
      </c>
      <c r="J85" s="134" t="s">
        <v>303</v>
      </c>
      <c r="K85" s="164">
        <v>0.17</v>
      </c>
    </row>
    <row r="86" spans="1:11" ht="15" thickBot="1">
      <c r="A86" s="157" t="s">
        <v>263</v>
      </c>
      <c r="B86" s="156" t="s">
        <v>262</v>
      </c>
      <c r="C86" s="155">
        <v>85</v>
      </c>
      <c r="D86" s="155">
        <v>85</v>
      </c>
      <c r="E86" s="155">
        <v>85</v>
      </c>
      <c r="F86" s="155">
        <v>85</v>
      </c>
      <c r="G86" s="155">
        <v>85</v>
      </c>
    </row>
    <row r="87" spans="1:11" ht="15" thickBot="1">
      <c r="A87" s="157" t="s">
        <v>264</v>
      </c>
      <c r="B87" s="159" t="s">
        <v>265</v>
      </c>
      <c r="C87" s="158">
        <v>40</v>
      </c>
      <c r="D87" s="158">
        <v>40</v>
      </c>
      <c r="E87" s="158">
        <v>40</v>
      </c>
      <c r="F87" s="158">
        <v>40</v>
      </c>
      <c r="G87" s="158">
        <v>40</v>
      </c>
    </row>
    <row r="88" spans="1:11" ht="15" thickBot="1">
      <c r="A88" s="157" t="s">
        <v>314</v>
      </c>
      <c r="B88" s="156" t="s">
        <v>262</v>
      </c>
      <c r="C88" s="155">
        <v>45</v>
      </c>
      <c r="D88" s="155">
        <v>46</v>
      </c>
      <c r="E88" s="155">
        <v>48</v>
      </c>
      <c r="F88" s="155">
        <v>48</v>
      </c>
      <c r="G88" s="155">
        <v>48</v>
      </c>
    </row>
    <row r="89" spans="1:11" ht="15" thickBot="1">
      <c r="A89" s="369" t="s">
        <v>269</v>
      </c>
      <c r="B89" s="370"/>
      <c r="C89" s="370"/>
      <c r="D89" s="370"/>
      <c r="E89" s="370"/>
      <c r="F89" s="370"/>
      <c r="G89" s="371"/>
    </row>
    <row r="90" spans="1:11" ht="16.2" thickBot="1">
      <c r="A90" s="157" t="s">
        <v>270</v>
      </c>
      <c r="B90" s="153" t="s">
        <v>271</v>
      </c>
      <c r="C90" s="152">
        <v>1600</v>
      </c>
      <c r="D90" s="152">
        <v>1600</v>
      </c>
      <c r="E90" s="152">
        <v>1600</v>
      </c>
      <c r="F90" s="152">
        <v>1600</v>
      </c>
      <c r="G90" s="152">
        <v>1600</v>
      </c>
    </row>
    <row r="91" spans="1:11" ht="16.2" thickBot="1">
      <c r="A91" s="157" t="s">
        <v>272</v>
      </c>
      <c r="B91" s="159" t="s">
        <v>271</v>
      </c>
      <c r="C91" s="158">
        <v>1550</v>
      </c>
      <c r="D91" s="158">
        <v>1550</v>
      </c>
      <c r="E91" s="158">
        <v>1550</v>
      </c>
      <c r="F91" s="158">
        <v>1550</v>
      </c>
      <c r="G91" s="158">
        <v>1550</v>
      </c>
    </row>
    <row r="92" spans="1:11" ht="16.2" thickBot="1">
      <c r="A92" s="157" t="s">
        <v>273</v>
      </c>
      <c r="B92" s="156" t="s">
        <v>271</v>
      </c>
      <c r="C92" s="155">
        <v>1700</v>
      </c>
      <c r="D92" s="155">
        <v>1700</v>
      </c>
      <c r="E92" s="155">
        <v>1700</v>
      </c>
      <c r="F92" s="155">
        <v>1700</v>
      </c>
      <c r="G92" s="155">
        <v>1700</v>
      </c>
    </row>
    <row r="93" spans="1:11" ht="27" thickBot="1">
      <c r="A93" s="157" t="s">
        <v>274</v>
      </c>
      <c r="B93" s="159"/>
      <c r="C93" s="375" t="s">
        <v>275</v>
      </c>
      <c r="D93" s="376"/>
      <c r="E93" s="376"/>
      <c r="F93" s="376"/>
      <c r="G93" s="377"/>
    </row>
    <row r="94" spans="1:11" ht="15" thickBot="1">
      <c r="A94" s="157" t="s">
        <v>276</v>
      </c>
      <c r="B94" s="156" t="s">
        <v>262</v>
      </c>
      <c r="C94" s="155">
        <v>1</v>
      </c>
      <c r="D94" s="155">
        <v>1</v>
      </c>
      <c r="E94" s="155">
        <v>1</v>
      </c>
      <c r="F94" s="155">
        <v>1</v>
      </c>
      <c r="G94" s="155" t="s">
        <v>277</v>
      </c>
    </row>
    <row r="95" spans="1:11" ht="27" thickBot="1">
      <c r="A95" s="157" t="s">
        <v>278</v>
      </c>
      <c r="B95" s="159" t="s">
        <v>279</v>
      </c>
      <c r="C95" s="158">
        <v>2.5</v>
      </c>
      <c r="D95" s="158">
        <v>2.5</v>
      </c>
      <c r="E95" s="158">
        <v>2.5</v>
      </c>
      <c r="F95" s="158">
        <v>2.5</v>
      </c>
      <c r="G95" s="158">
        <v>2.5</v>
      </c>
    </row>
    <row r="96" spans="1:11" ht="15" thickBot="1">
      <c r="A96" s="157" t="s">
        <v>312</v>
      </c>
      <c r="B96" s="156" t="s">
        <v>262</v>
      </c>
      <c r="C96" s="155">
        <v>2</v>
      </c>
      <c r="D96" s="155" t="s">
        <v>277</v>
      </c>
      <c r="E96" s="155" t="s">
        <v>277</v>
      </c>
      <c r="F96" s="155" t="s">
        <v>277</v>
      </c>
      <c r="G96" s="155" t="s">
        <v>277</v>
      </c>
    </row>
    <row r="97" spans="1:7" ht="16.2" thickBot="1">
      <c r="A97" s="157" t="s">
        <v>280</v>
      </c>
      <c r="B97" s="159" t="s">
        <v>281</v>
      </c>
      <c r="C97" s="158">
        <v>3.6</v>
      </c>
      <c r="D97" s="158">
        <v>3.6</v>
      </c>
      <c r="E97" s="158">
        <v>3.6</v>
      </c>
      <c r="F97" s="158">
        <v>3.6</v>
      </c>
      <c r="G97" s="158">
        <v>3.6</v>
      </c>
    </row>
    <row r="98" spans="1:7" ht="15" thickBot="1">
      <c r="A98" s="157" t="s">
        <v>283</v>
      </c>
      <c r="B98" s="156">
        <v>1</v>
      </c>
      <c r="C98" s="155">
        <v>135</v>
      </c>
      <c r="D98" s="155">
        <v>135</v>
      </c>
      <c r="E98" s="155">
        <v>135</v>
      </c>
      <c r="F98" s="155">
        <v>135</v>
      </c>
      <c r="G98" s="155">
        <v>135</v>
      </c>
    </row>
    <row r="99" spans="1:7" ht="15" thickBot="1">
      <c r="A99" s="369" t="s">
        <v>284</v>
      </c>
      <c r="B99" s="370"/>
      <c r="C99" s="370"/>
      <c r="D99" s="370"/>
      <c r="E99" s="370"/>
      <c r="F99" s="370"/>
      <c r="G99" s="371"/>
    </row>
    <row r="100" spans="1:7" ht="29.4" thickBot="1">
      <c r="A100" s="157" t="s">
        <v>285</v>
      </c>
      <c r="B100" s="153" t="s">
        <v>286</v>
      </c>
      <c r="C100" s="152">
        <v>890</v>
      </c>
      <c r="D100" s="152">
        <v>880</v>
      </c>
      <c r="E100" s="152">
        <v>840</v>
      </c>
      <c r="F100" s="152">
        <v>840</v>
      </c>
      <c r="G100" s="152">
        <v>840</v>
      </c>
    </row>
    <row r="101" spans="1:7" ht="29.4" thickBot="1">
      <c r="A101" s="157" t="s">
        <v>287</v>
      </c>
      <c r="B101" s="159" t="s">
        <v>286</v>
      </c>
      <c r="C101" s="158">
        <v>95</v>
      </c>
      <c r="D101" s="158">
        <v>93</v>
      </c>
      <c r="E101" s="158">
        <v>89</v>
      </c>
      <c r="F101" s="158">
        <v>89</v>
      </c>
      <c r="G101" s="158">
        <v>89</v>
      </c>
    </row>
    <row r="102" spans="1:7" ht="15" thickBot="1">
      <c r="A102" s="157" t="s">
        <v>288</v>
      </c>
      <c r="B102" s="156" t="s">
        <v>289</v>
      </c>
      <c r="C102" s="155">
        <v>1760</v>
      </c>
      <c r="D102" s="155">
        <v>1720</v>
      </c>
      <c r="E102" s="155">
        <v>1650</v>
      </c>
      <c r="F102" s="155">
        <v>1650</v>
      </c>
      <c r="G102" s="155">
        <v>1650</v>
      </c>
    </row>
    <row r="103" spans="1:7" ht="15" thickBot="1">
      <c r="A103" s="157" t="s">
        <v>290</v>
      </c>
      <c r="B103" s="159" t="s">
        <v>289</v>
      </c>
      <c r="C103" s="158">
        <v>2210</v>
      </c>
      <c r="D103" s="158">
        <v>2160</v>
      </c>
      <c r="E103" s="158">
        <v>2070</v>
      </c>
      <c r="F103" s="158">
        <v>2070</v>
      </c>
      <c r="G103" s="158">
        <v>2070</v>
      </c>
    </row>
    <row r="104" spans="1:7" ht="15" thickBot="1">
      <c r="A104" s="369" t="s">
        <v>291</v>
      </c>
      <c r="B104" s="370"/>
      <c r="C104" s="370"/>
      <c r="D104" s="370"/>
      <c r="E104" s="370"/>
      <c r="F104" s="370"/>
      <c r="G104" s="371"/>
    </row>
    <row r="105" spans="1:7" ht="15" thickBot="1">
      <c r="A105" s="154" t="s">
        <v>295</v>
      </c>
      <c r="B105" s="161" t="s">
        <v>293</v>
      </c>
      <c r="C105" s="160" t="s">
        <v>277</v>
      </c>
      <c r="D105" s="160" t="s">
        <v>277</v>
      </c>
      <c r="E105" s="160" t="s">
        <v>277</v>
      </c>
      <c r="F105" s="160" t="s">
        <v>277</v>
      </c>
      <c r="G105" s="160" t="s">
        <v>277</v>
      </c>
    </row>
    <row r="107" spans="1:7" ht="15" thickBot="1">
      <c r="A107" s="12" t="s">
        <v>313</v>
      </c>
    </row>
    <row r="108" spans="1:7" ht="15" thickBot="1">
      <c r="A108" s="163"/>
      <c r="B108" s="162" t="s">
        <v>46</v>
      </c>
      <c r="C108" s="162">
        <v>2013</v>
      </c>
      <c r="D108" s="162">
        <v>2020</v>
      </c>
      <c r="E108" s="162">
        <v>2030</v>
      </c>
      <c r="F108" s="162">
        <v>2040</v>
      </c>
      <c r="G108" s="162">
        <v>2050</v>
      </c>
    </row>
    <row r="109" spans="1:7" ht="15.6" thickTop="1" thickBot="1">
      <c r="A109" s="372" t="s">
        <v>257</v>
      </c>
      <c r="B109" s="373"/>
      <c r="C109" s="373"/>
      <c r="D109" s="373"/>
      <c r="E109" s="373"/>
      <c r="F109" s="373"/>
      <c r="G109" s="374"/>
    </row>
    <row r="110" spans="1:7" ht="15" thickBot="1">
      <c r="A110" s="157" t="s">
        <v>258</v>
      </c>
      <c r="B110" s="153" t="s">
        <v>189</v>
      </c>
      <c r="C110" s="152">
        <v>750</v>
      </c>
      <c r="D110" s="152">
        <v>750</v>
      </c>
      <c r="E110" s="152">
        <v>750</v>
      </c>
      <c r="F110" s="152">
        <v>750</v>
      </c>
      <c r="G110" s="152">
        <v>750</v>
      </c>
    </row>
    <row r="111" spans="1:7" ht="27" thickBot="1">
      <c r="A111" s="157" t="s">
        <v>259</v>
      </c>
      <c r="B111" s="159" t="s">
        <v>189</v>
      </c>
      <c r="C111" s="158">
        <v>795</v>
      </c>
      <c r="D111" s="158">
        <v>795</v>
      </c>
      <c r="E111" s="158">
        <v>795</v>
      </c>
      <c r="F111" s="158">
        <v>795</v>
      </c>
      <c r="G111" s="158">
        <v>795</v>
      </c>
    </row>
    <row r="112" spans="1:7" ht="15" thickBot="1">
      <c r="A112" s="157" t="s">
        <v>260</v>
      </c>
      <c r="B112" s="156" t="s">
        <v>189</v>
      </c>
      <c r="C112" s="155">
        <v>1790</v>
      </c>
      <c r="D112" s="155">
        <v>1670</v>
      </c>
      <c r="E112" s="155">
        <v>1600</v>
      </c>
      <c r="F112" s="155">
        <v>1600</v>
      </c>
      <c r="G112" s="155">
        <v>1600</v>
      </c>
    </row>
    <row r="113" spans="1:7" ht="15" thickBot="1">
      <c r="A113" s="157" t="s">
        <v>261</v>
      </c>
      <c r="B113" s="159" t="s">
        <v>262</v>
      </c>
      <c r="C113" s="158">
        <v>90</v>
      </c>
      <c r="D113" s="158">
        <v>90</v>
      </c>
      <c r="E113" s="158">
        <v>90</v>
      </c>
      <c r="F113" s="158">
        <v>90</v>
      </c>
      <c r="G113" s="158">
        <v>90</v>
      </c>
    </row>
    <row r="114" spans="1:7" ht="15" thickBot="1">
      <c r="A114" s="157" t="s">
        <v>263</v>
      </c>
      <c r="B114" s="156" t="s">
        <v>262</v>
      </c>
      <c r="C114" s="155">
        <v>85</v>
      </c>
      <c r="D114" s="155">
        <v>85</v>
      </c>
      <c r="E114" s="155">
        <v>85</v>
      </c>
      <c r="F114" s="155">
        <v>85</v>
      </c>
      <c r="G114" s="155">
        <v>85</v>
      </c>
    </row>
    <row r="115" spans="1:7" ht="15" thickBot="1">
      <c r="A115" s="157" t="s">
        <v>264</v>
      </c>
      <c r="B115" s="159" t="s">
        <v>265</v>
      </c>
      <c r="C115" s="158">
        <v>40</v>
      </c>
      <c r="D115" s="158">
        <v>40</v>
      </c>
      <c r="E115" s="158">
        <v>40</v>
      </c>
      <c r="F115" s="158">
        <v>40</v>
      </c>
      <c r="G115" s="158">
        <v>40</v>
      </c>
    </row>
    <row r="116" spans="1:7" ht="15" thickBot="1">
      <c r="A116" s="157" t="s">
        <v>266</v>
      </c>
      <c r="B116" s="156" t="s">
        <v>262</v>
      </c>
      <c r="C116" s="155">
        <v>42</v>
      </c>
      <c r="D116" s="155">
        <v>45</v>
      </c>
      <c r="E116" s="155">
        <v>47</v>
      </c>
      <c r="F116" s="155">
        <v>47</v>
      </c>
      <c r="G116" s="155">
        <v>47</v>
      </c>
    </row>
    <row r="117" spans="1:7" ht="15" thickBot="1">
      <c r="A117" s="369" t="s">
        <v>269</v>
      </c>
      <c r="B117" s="370"/>
      <c r="C117" s="370"/>
      <c r="D117" s="370"/>
      <c r="E117" s="370"/>
      <c r="F117" s="370"/>
      <c r="G117" s="371"/>
    </row>
    <row r="118" spans="1:7" ht="16.2" thickBot="1">
      <c r="A118" s="157" t="s">
        <v>270</v>
      </c>
      <c r="B118" s="153" t="s">
        <v>271</v>
      </c>
      <c r="C118" s="152">
        <v>2000</v>
      </c>
      <c r="D118" s="152">
        <v>2000</v>
      </c>
      <c r="E118" s="152">
        <v>2000</v>
      </c>
      <c r="F118" s="152">
        <v>2000</v>
      </c>
      <c r="G118" s="152">
        <v>2000</v>
      </c>
    </row>
    <row r="119" spans="1:7" ht="16.2" thickBot="1">
      <c r="A119" s="157" t="s">
        <v>272</v>
      </c>
      <c r="B119" s="159" t="s">
        <v>271</v>
      </c>
      <c r="C119" s="158">
        <v>1700</v>
      </c>
      <c r="D119" s="158">
        <v>1700</v>
      </c>
      <c r="E119" s="158">
        <v>1700</v>
      </c>
      <c r="F119" s="158">
        <v>1700</v>
      </c>
      <c r="G119" s="158">
        <v>1700</v>
      </c>
    </row>
    <row r="120" spans="1:7" ht="16.2" thickBot="1">
      <c r="A120" s="157" t="s">
        <v>273</v>
      </c>
      <c r="B120" s="156" t="s">
        <v>271</v>
      </c>
      <c r="C120" s="155">
        <v>2400</v>
      </c>
      <c r="D120" s="155">
        <v>2400</v>
      </c>
      <c r="E120" s="155">
        <v>2400</v>
      </c>
      <c r="F120" s="155">
        <v>2400</v>
      </c>
      <c r="G120" s="155">
        <v>2400</v>
      </c>
    </row>
    <row r="121" spans="1:7" ht="27" thickBot="1">
      <c r="A121" s="157" t="s">
        <v>274</v>
      </c>
      <c r="B121" s="159"/>
      <c r="C121" s="375" t="s">
        <v>275</v>
      </c>
      <c r="D121" s="376"/>
      <c r="E121" s="376"/>
      <c r="F121" s="376"/>
      <c r="G121" s="377"/>
    </row>
    <row r="122" spans="1:7" ht="15" thickBot="1">
      <c r="A122" s="157" t="s">
        <v>276</v>
      </c>
      <c r="B122" s="156" t="s">
        <v>262</v>
      </c>
      <c r="C122" s="155">
        <v>1</v>
      </c>
      <c r="D122" s="155">
        <v>1</v>
      </c>
      <c r="E122" s="155">
        <v>1</v>
      </c>
      <c r="F122" s="155">
        <v>1</v>
      </c>
      <c r="G122" s="155" t="s">
        <v>277</v>
      </c>
    </row>
    <row r="123" spans="1:7" ht="27" thickBot="1">
      <c r="A123" s="157" t="s">
        <v>278</v>
      </c>
      <c r="B123" s="159" t="s">
        <v>279</v>
      </c>
      <c r="C123" s="158">
        <v>2.5</v>
      </c>
      <c r="D123" s="158">
        <v>2.5</v>
      </c>
      <c r="E123" s="158">
        <v>2.5</v>
      </c>
      <c r="F123" s="158">
        <v>2.5</v>
      </c>
      <c r="G123" s="158">
        <v>2.5</v>
      </c>
    </row>
    <row r="124" spans="1:7" ht="15" thickBot="1">
      <c r="A124" s="157" t="s">
        <v>312</v>
      </c>
      <c r="B124" s="156" t="s">
        <v>262</v>
      </c>
      <c r="C124" s="155">
        <v>2</v>
      </c>
      <c r="D124" s="155" t="s">
        <v>277</v>
      </c>
      <c r="E124" s="155" t="s">
        <v>277</v>
      </c>
      <c r="F124" s="155" t="s">
        <v>277</v>
      </c>
      <c r="G124" s="155" t="s">
        <v>277</v>
      </c>
    </row>
    <row r="125" spans="1:7" ht="16.2" thickBot="1">
      <c r="A125" s="157" t="s">
        <v>280</v>
      </c>
      <c r="B125" s="159" t="s">
        <v>281</v>
      </c>
      <c r="C125" s="158">
        <v>4.5</v>
      </c>
      <c r="D125" s="158">
        <v>4.5</v>
      </c>
      <c r="E125" s="158">
        <v>4.5</v>
      </c>
      <c r="F125" s="158">
        <v>4.5</v>
      </c>
      <c r="G125" s="158">
        <v>4.5</v>
      </c>
    </row>
    <row r="126" spans="1:7" ht="15" thickBot="1">
      <c r="A126" s="157" t="s">
        <v>311</v>
      </c>
      <c r="B126" s="156">
        <v>1</v>
      </c>
      <c r="C126" s="155">
        <v>135</v>
      </c>
      <c r="D126" s="155">
        <v>135</v>
      </c>
      <c r="E126" s="155">
        <v>135</v>
      </c>
      <c r="F126" s="155">
        <v>135</v>
      </c>
      <c r="G126" s="155">
        <v>135</v>
      </c>
    </row>
    <row r="127" spans="1:7" ht="15" thickBot="1">
      <c r="A127" s="369" t="s">
        <v>284</v>
      </c>
      <c r="B127" s="370"/>
      <c r="C127" s="370"/>
      <c r="D127" s="370"/>
      <c r="E127" s="370"/>
      <c r="F127" s="370"/>
      <c r="G127" s="371"/>
    </row>
    <row r="128" spans="1:7" ht="29.4" thickBot="1">
      <c r="A128" s="157" t="s">
        <v>285</v>
      </c>
      <c r="B128" s="153" t="s">
        <v>286</v>
      </c>
      <c r="C128" s="152">
        <v>1010</v>
      </c>
      <c r="D128" s="152">
        <v>950</v>
      </c>
      <c r="E128" s="152">
        <v>910</v>
      </c>
      <c r="F128" s="152">
        <v>910</v>
      </c>
      <c r="G128" s="152">
        <v>910</v>
      </c>
    </row>
    <row r="129" spans="1:7" ht="29.4" thickBot="1">
      <c r="A129" s="157" t="s">
        <v>287</v>
      </c>
      <c r="B129" s="159" t="s">
        <v>286</v>
      </c>
      <c r="C129" s="158">
        <v>110</v>
      </c>
      <c r="D129" s="158">
        <v>100</v>
      </c>
      <c r="E129" s="158">
        <v>96</v>
      </c>
      <c r="F129" s="158">
        <v>96</v>
      </c>
      <c r="G129" s="158">
        <v>96</v>
      </c>
    </row>
    <row r="130" spans="1:7" ht="15" thickBot="1">
      <c r="A130" s="157" t="s">
        <v>288</v>
      </c>
      <c r="B130" s="156" t="s">
        <v>289</v>
      </c>
      <c r="C130" s="155">
        <v>1750</v>
      </c>
      <c r="D130" s="155">
        <v>1630</v>
      </c>
      <c r="E130" s="155">
        <v>1570</v>
      </c>
      <c r="F130" s="155">
        <v>1570</v>
      </c>
      <c r="G130" s="155">
        <v>1570</v>
      </c>
    </row>
    <row r="131" spans="1:7" ht="15" thickBot="1">
      <c r="A131" s="157" t="s">
        <v>290</v>
      </c>
      <c r="B131" s="159" t="s">
        <v>289</v>
      </c>
      <c r="C131" s="158">
        <v>2210</v>
      </c>
      <c r="D131" s="158">
        <v>2060</v>
      </c>
      <c r="E131" s="158">
        <v>1970</v>
      </c>
      <c r="F131" s="158">
        <v>1970</v>
      </c>
      <c r="G131" s="158">
        <v>1970</v>
      </c>
    </row>
    <row r="132" spans="1:7" ht="15" thickBot="1">
      <c r="A132" s="369" t="s">
        <v>291</v>
      </c>
      <c r="B132" s="370"/>
      <c r="C132" s="370"/>
      <c r="D132" s="370"/>
      <c r="E132" s="370"/>
      <c r="F132" s="370"/>
      <c r="G132" s="371"/>
    </row>
    <row r="133" spans="1:7" ht="15" thickBot="1">
      <c r="A133" s="154" t="s">
        <v>295</v>
      </c>
      <c r="B133" s="161" t="s">
        <v>293</v>
      </c>
      <c r="C133" s="160" t="s">
        <v>277</v>
      </c>
      <c r="D133" s="160" t="s">
        <v>277</v>
      </c>
      <c r="E133" s="160" t="s">
        <v>277</v>
      </c>
      <c r="F133" s="160" t="s">
        <v>277</v>
      </c>
      <c r="G133" s="160" t="s">
        <v>277</v>
      </c>
    </row>
    <row r="135" spans="1:7" ht="15" thickBot="1">
      <c r="A135" s="151" t="s">
        <v>310</v>
      </c>
    </row>
    <row r="136" spans="1:7" ht="15" thickBot="1">
      <c r="A136" s="163"/>
      <c r="B136" s="162" t="s">
        <v>46</v>
      </c>
      <c r="C136" s="162">
        <v>2013</v>
      </c>
      <c r="D136" s="162">
        <v>2020</v>
      </c>
      <c r="E136" s="162">
        <v>2030</v>
      </c>
      <c r="F136" s="162">
        <v>2040</v>
      </c>
      <c r="G136" s="162">
        <v>2050</v>
      </c>
    </row>
    <row r="137" spans="1:7" ht="15.6" thickTop="1" thickBot="1">
      <c r="A137" s="372" t="s">
        <v>257</v>
      </c>
      <c r="B137" s="373"/>
      <c r="C137" s="373"/>
      <c r="D137" s="373"/>
      <c r="E137" s="373"/>
      <c r="F137" s="373"/>
      <c r="G137" s="374"/>
    </row>
    <row r="138" spans="1:7" ht="15" thickBot="1">
      <c r="A138" s="157" t="s">
        <v>258</v>
      </c>
      <c r="B138" s="153" t="s">
        <v>189</v>
      </c>
      <c r="C138" s="152">
        <v>550</v>
      </c>
      <c r="D138" s="152">
        <v>550</v>
      </c>
      <c r="E138" s="152">
        <v>550</v>
      </c>
      <c r="F138" s="152">
        <v>550</v>
      </c>
      <c r="G138" s="152">
        <v>550</v>
      </c>
    </row>
    <row r="139" spans="1:7" ht="27" thickBot="1">
      <c r="A139" s="157" t="s">
        <v>259</v>
      </c>
      <c r="B139" s="159" t="s">
        <v>189</v>
      </c>
      <c r="C139" s="158">
        <v>580</v>
      </c>
      <c r="D139" s="158">
        <v>580</v>
      </c>
      <c r="E139" s="158">
        <v>580</v>
      </c>
      <c r="F139" s="158">
        <v>580</v>
      </c>
      <c r="G139" s="158">
        <v>580</v>
      </c>
    </row>
    <row r="140" spans="1:7" ht="15" thickBot="1">
      <c r="A140" s="157" t="s">
        <v>260</v>
      </c>
      <c r="B140" s="156" t="s">
        <v>189</v>
      </c>
      <c r="C140" s="155">
        <v>1310</v>
      </c>
      <c r="D140" s="155">
        <v>1280</v>
      </c>
      <c r="E140" s="155">
        <v>1230</v>
      </c>
      <c r="F140" s="155">
        <v>1230</v>
      </c>
      <c r="G140" s="155">
        <v>1230</v>
      </c>
    </row>
    <row r="141" spans="1:7" ht="15" thickBot="1">
      <c r="A141" s="157" t="s">
        <v>261</v>
      </c>
      <c r="B141" s="159" t="s">
        <v>262</v>
      </c>
      <c r="C141" s="158">
        <v>85</v>
      </c>
      <c r="D141" s="158">
        <v>85</v>
      </c>
      <c r="E141" s="158">
        <v>85</v>
      </c>
      <c r="F141" s="158">
        <v>85</v>
      </c>
      <c r="G141" s="158">
        <v>85</v>
      </c>
    </row>
    <row r="142" spans="1:7" ht="15" thickBot="1">
      <c r="A142" s="157" t="s">
        <v>263</v>
      </c>
      <c r="B142" s="156" t="s">
        <v>262</v>
      </c>
      <c r="C142" s="155">
        <v>85</v>
      </c>
      <c r="D142" s="155">
        <v>85</v>
      </c>
      <c r="E142" s="155">
        <v>85</v>
      </c>
      <c r="F142" s="155">
        <v>85</v>
      </c>
      <c r="G142" s="155">
        <v>85</v>
      </c>
    </row>
    <row r="143" spans="1:7" ht="15" thickBot="1">
      <c r="A143" s="157" t="s">
        <v>264</v>
      </c>
      <c r="B143" s="159" t="s">
        <v>265</v>
      </c>
      <c r="C143" s="158">
        <v>40</v>
      </c>
      <c r="D143" s="158">
        <v>40</v>
      </c>
      <c r="E143" s="158">
        <v>40</v>
      </c>
      <c r="F143" s="158">
        <v>40</v>
      </c>
      <c r="G143" s="158">
        <v>40</v>
      </c>
    </row>
    <row r="144" spans="1:7" ht="15" thickBot="1">
      <c r="A144" s="157" t="s">
        <v>266</v>
      </c>
      <c r="B144" s="156" t="s">
        <v>262</v>
      </c>
      <c r="C144" s="155">
        <v>42</v>
      </c>
      <c r="D144" s="155">
        <v>43</v>
      </c>
      <c r="E144" s="155">
        <v>45</v>
      </c>
      <c r="F144" s="155">
        <v>45</v>
      </c>
      <c r="G144" s="155">
        <v>45</v>
      </c>
    </row>
    <row r="145" spans="1:7" ht="15" thickBot="1">
      <c r="A145" s="369" t="s">
        <v>269</v>
      </c>
      <c r="B145" s="370"/>
      <c r="C145" s="370"/>
      <c r="D145" s="370"/>
      <c r="E145" s="370"/>
      <c r="F145" s="370"/>
      <c r="G145" s="371"/>
    </row>
    <row r="146" spans="1:7" ht="16.2" thickBot="1">
      <c r="A146" s="157" t="s">
        <v>270</v>
      </c>
      <c r="B146" s="153" t="s">
        <v>271</v>
      </c>
      <c r="C146" s="152">
        <v>1900</v>
      </c>
      <c r="D146" s="152">
        <v>1900</v>
      </c>
      <c r="E146" s="152">
        <v>1900</v>
      </c>
      <c r="F146" s="152">
        <v>1900</v>
      </c>
      <c r="G146" s="152">
        <v>1900</v>
      </c>
    </row>
    <row r="147" spans="1:7" ht="16.2" thickBot="1">
      <c r="A147" s="157" t="s">
        <v>272</v>
      </c>
      <c r="B147" s="159" t="s">
        <v>271</v>
      </c>
      <c r="C147" s="158">
        <v>1615</v>
      </c>
      <c r="D147" s="158">
        <v>1615</v>
      </c>
      <c r="E147" s="158">
        <v>1615</v>
      </c>
      <c r="F147" s="158">
        <v>1615</v>
      </c>
      <c r="G147" s="158">
        <v>1615</v>
      </c>
    </row>
    <row r="148" spans="1:7" ht="16.2" thickBot="1">
      <c r="A148" s="157" t="s">
        <v>273</v>
      </c>
      <c r="B148" s="156" t="s">
        <v>271</v>
      </c>
      <c r="C148" s="155">
        <v>2280</v>
      </c>
      <c r="D148" s="155">
        <v>2280</v>
      </c>
      <c r="E148" s="155">
        <v>2280</v>
      </c>
      <c r="F148" s="155">
        <v>2280</v>
      </c>
      <c r="G148" s="155">
        <v>2280</v>
      </c>
    </row>
    <row r="149" spans="1:7" ht="27" thickBot="1">
      <c r="A149" s="157" t="s">
        <v>274</v>
      </c>
      <c r="B149" s="159"/>
      <c r="C149" s="375" t="s">
        <v>275</v>
      </c>
      <c r="D149" s="376"/>
      <c r="E149" s="376"/>
      <c r="F149" s="376"/>
      <c r="G149" s="377"/>
    </row>
    <row r="150" spans="1:7" ht="15" thickBot="1">
      <c r="A150" s="157" t="s">
        <v>276</v>
      </c>
      <c r="B150" s="156" t="s">
        <v>262</v>
      </c>
      <c r="C150" s="155" t="s">
        <v>277</v>
      </c>
      <c r="D150" s="155"/>
      <c r="E150" s="155"/>
      <c r="F150" s="155"/>
      <c r="G150" s="155"/>
    </row>
    <row r="151" spans="1:7" ht="27" thickBot="1">
      <c r="A151" s="157" t="s">
        <v>278</v>
      </c>
      <c r="B151" s="159" t="s">
        <v>279</v>
      </c>
      <c r="C151" s="158">
        <v>2</v>
      </c>
      <c r="D151" s="158">
        <v>2</v>
      </c>
      <c r="E151" s="158">
        <v>2</v>
      </c>
      <c r="F151" s="158">
        <v>2</v>
      </c>
      <c r="G151" s="158">
        <v>2</v>
      </c>
    </row>
    <row r="152" spans="1:7" ht="16.2" thickBot="1">
      <c r="A152" s="157" t="s">
        <v>280</v>
      </c>
      <c r="B152" s="156" t="s">
        <v>281</v>
      </c>
      <c r="C152" s="155">
        <v>6</v>
      </c>
      <c r="D152" s="155">
        <v>6</v>
      </c>
      <c r="E152" s="155">
        <v>6</v>
      </c>
      <c r="F152" s="155">
        <v>6</v>
      </c>
      <c r="G152" s="155">
        <v>6</v>
      </c>
    </row>
    <row r="153" spans="1:7" ht="15" thickBot="1">
      <c r="A153" s="157" t="s">
        <v>283</v>
      </c>
      <c r="B153" s="159">
        <v>1</v>
      </c>
      <c r="C153" s="158">
        <v>100</v>
      </c>
      <c r="D153" s="158">
        <v>100</v>
      </c>
      <c r="E153" s="158">
        <v>100</v>
      </c>
      <c r="F153" s="158">
        <v>100</v>
      </c>
      <c r="G153" s="158">
        <v>100</v>
      </c>
    </row>
    <row r="154" spans="1:7" ht="15" thickBot="1">
      <c r="A154" s="369" t="s">
        <v>284</v>
      </c>
      <c r="B154" s="370"/>
      <c r="C154" s="370"/>
      <c r="D154" s="370"/>
      <c r="E154" s="370"/>
      <c r="F154" s="370"/>
      <c r="G154" s="371"/>
    </row>
    <row r="155" spans="1:7" ht="29.4" thickBot="1">
      <c r="A155" s="157" t="s">
        <v>285</v>
      </c>
      <c r="B155" s="161" t="s">
        <v>286</v>
      </c>
      <c r="C155" s="160">
        <v>1010</v>
      </c>
      <c r="D155" s="160">
        <v>985</v>
      </c>
      <c r="E155" s="160">
        <v>940</v>
      </c>
      <c r="F155" s="160">
        <v>940</v>
      </c>
      <c r="G155" s="160">
        <v>940</v>
      </c>
    </row>
    <row r="156" spans="1:7" ht="29.4" thickBot="1">
      <c r="A156" s="157" t="s">
        <v>287</v>
      </c>
      <c r="B156" s="156" t="s">
        <v>286</v>
      </c>
      <c r="C156" s="155">
        <v>110</v>
      </c>
      <c r="D156" s="155">
        <v>105</v>
      </c>
      <c r="E156" s="155">
        <v>100</v>
      </c>
      <c r="F156" s="155">
        <v>100</v>
      </c>
      <c r="G156" s="155">
        <v>100</v>
      </c>
    </row>
    <row r="157" spans="1:7" ht="15" thickBot="1">
      <c r="A157" s="157" t="s">
        <v>288</v>
      </c>
      <c r="B157" s="159" t="s">
        <v>289</v>
      </c>
      <c r="C157" s="158">
        <v>750</v>
      </c>
      <c r="D157" s="158">
        <v>735</v>
      </c>
      <c r="E157" s="158">
        <v>700</v>
      </c>
      <c r="F157" s="158">
        <v>700</v>
      </c>
      <c r="G157" s="158">
        <v>700</v>
      </c>
    </row>
    <row r="158" spans="1:7" ht="15" thickBot="1">
      <c r="A158" s="157" t="s">
        <v>290</v>
      </c>
      <c r="B158" s="156" t="s">
        <v>289</v>
      </c>
      <c r="C158" s="155">
        <v>980</v>
      </c>
      <c r="D158" s="155">
        <v>960</v>
      </c>
      <c r="E158" s="155">
        <v>915</v>
      </c>
      <c r="F158" s="155">
        <v>915</v>
      </c>
      <c r="G158" s="155">
        <v>915</v>
      </c>
    </row>
    <row r="159" spans="1:7" ht="15" thickBot="1">
      <c r="A159" s="369" t="s">
        <v>291</v>
      </c>
      <c r="B159" s="370"/>
      <c r="C159" s="370"/>
      <c r="D159" s="370"/>
      <c r="E159" s="370"/>
      <c r="F159" s="370"/>
      <c r="G159" s="371"/>
    </row>
    <row r="160" spans="1:7" ht="15" thickBot="1">
      <c r="A160" s="154" t="s">
        <v>292</v>
      </c>
      <c r="B160" s="153" t="s">
        <v>293</v>
      </c>
      <c r="C160" s="152" t="s">
        <v>277</v>
      </c>
      <c r="D160" s="152" t="s">
        <v>277</v>
      </c>
      <c r="E160" s="152" t="s">
        <v>277</v>
      </c>
      <c r="F160" s="152" t="s">
        <v>277</v>
      </c>
      <c r="G160" s="152" t="s">
        <v>277</v>
      </c>
    </row>
    <row r="162" spans="1:11" ht="15" thickBot="1">
      <c r="A162" s="12" t="s">
        <v>309</v>
      </c>
    </row>
    <row r="163" spans="1:11" ht="15" thickBot="1">
      <c r="A163" s="163"/>
      <c r="B163" s="162" t="s">
        <v>46</v>
      </c>
      <c r="C163" s="162">
        <v>2013</v>
      </c>
      <c r="D163" s="162">
        <v>2020</v>
      </c>
      <c r="E163" s="162">
        <v>2030</v>
      </c>
      <c r="F163" s="162">
        <v>2040</v>
      </c>
      <c r="G163" s="162">
        <v>2050</v>
      </c>
      <c r="J163" s="12" t="s">
        <v>308</v>
      </c>
    </row>
    <row r="164" spans="1:11" ht="15.6" thickTop="1" thickBot="1">
      <c r="A164" s="372" t="s">
        <v>257</v>
      </c>
      <c r="B164" s="373"/>
      <c r="C164" s="373"/>
      <c r="D164" s="373"/>
      <c r="E164" s="373"/>
      <c r="F164" s="373"/>
      <c r="G164" s="374"/>
      <c r="J164" s="134" t="s">
        <v>307</v>
      </c>
      <c r="K164" s="164">
        <v>0.03</v>
      </c>
    </row>
    <row r="165" spans="1:11" ht="15" thickBot="1">
      <c r="A165" s="157" t="s">
        <v>258</v>
      </c>
      <c r="B165" s="153" t="s">
        <v>189</v>
      </c>
      <c r="C165" s="152">
        <v>600</v>
      </c>
      <c r="D165" s="152">
        <v>600</v>
      </c>
      <c r="E165" s="152">
        <v>600</v>
      </c>
      <c r="F165" s="152">
        <v>600</v>
      </c>
      <c r="G165" s="152">
        <v>600</v>
      </c>
      <c r="J165" s="134" t="s">
        <v>306</v>
      </c>
      <c r="K165" s="164">
        <v>0.46</v>
      </c>
    </row>
    <row r="166" spans="1:11" ht="27" thickBot="1">
      <c r="A166" s="157" t="s">
        <v>259</v>
      </c>
      <c r="B166" s="159" t="s">
        <v>189</v>
      </c>
      <c r="C166" s="158">
        <v>700</v>
      </c>
      <c r="D166" s="158">
        <v>700</v>
      </c>
      <c r="E166" s="158">
        <v>700</v>
      </c>
      <c r="F166" s="158">
        <v>700</v>
      </c>
      <c r="G166" s="158">
        <v>700</v>
      </c>
      <c r="J166" s="134" t="s">
        <v>305</v>
      </c>
      <c r="K166" s="164">
        <v>0.09</v>
      </c>
    </row>
    <row r="167" spans="1:11" ht="15" thickBot="1">
      <c r="A167" s="157" t="s">
        <v>260</v>
      </c>
      <c r="B167" s="156" t="s">
        <v>189</v>
      </c>
      <c r="C167" s="155">
        <v>1330</v>
      </c>
      <c r="D167" s="155">
        <v>1330</v>
      </c>
      <c r="E167" s="155">
        <v>1330</v>
      </c>
      <c r="F167" s="155">
        <v>1280</v>
      </c>
      <c r="G167" s="155">
        <v>1200</v>
      </c>
      <c r="J167" s="134" t="s">
        <v>304</v>
      </c>
      <c r="K167" s="164">
        <v>0.24</v>
      </c>
    </row>
    <row r="168" spans="1:11" ht="15" thickBot="1">
      <c r="A168" s="157" t="s">
        <v>261</v>
      </c>
      <c r="B168" s="159" t="s">
        <v>262</v>
      </c>
      <c r="C168" s="158">
        <v>90</v>
      </c>
      <c r="D168" s="158">
        <v>90</v>
      </c>
      <c r="E168" s="158">
        <v>90</v>
      </c>
      <c r="F168" s="158">
        <v>90</v>
      </c>
      <c r="G168" s="158">
        <v>90</v>
      </c>
      <c r="J168" s="134" t="s">
        <v>303</v>
      </c>
      <c r="K168" s="164">
        <v>0.18</v>
      </c>
    </row>
    <row r="169" spans="1:11" ht="15" thickBot="1">
      <c r="A169" s="157" t="s">
        <v>263</v>
      </c>
      <c r="B169" s="156" t="s">
        <v>262</v>
      </c>
      <c r="C169" s="155">
        <v>85</v>
      </c>
      <c r="D169" s="155">
        <v>85</v>
      </c>
      <c r="E169" s="155">
        <v>85</v>
      </c>
      <c r="F169" s="155">
        <v>85</v>
      </c>
      <c r="G169" s="155">
        <v>85</v>
      </c>
    </row>
    <row r="170" spans="1:11" ht="15" thickBot="1">
      <c r="A170" s="157" t="s">
        <v>264</v>
      </c>
      <c r="B170" s="159" t="s">
        <v>265</v>
      </c>
      <c r="C170" s="158">
        <v>35</v>
      </c>
      <c r="D170" s="158">
        <v>35</v>
      </c>
      <c r="E170" s="158">
        <v>35</v>
      </c>
      <c r="F170" s="158">
        <v>35</v>
      </c>
      <c r="G170" s="158">
        <v>35</v>
      </c>
    </row>
    <row r="171" spans="1:11" ht="15" thickBot="1">
      <c r="A171" s="157" t="s">
        <v>266</v>
      </c>
      <c r="B171" s="156" t="s">
        <v>262</v>
      </c>
      <c r="C171" s="155">
        <v>45</v>
      </c>
      <c r="D171" s="155">
        <v>46</v>
      </c>
      <c r="E171" s="155">
        <v>46</v>
      </c>
      <c r="F171" s="155">
        <v>47</v>
      </c>
      <c r="G171" s="155">
        <v>50</v>
      </c>
    </row>
    <row r="172" spans="1:11" ht="15" thickBot="1">
      <c r="A172" s="369" t="s">
        <v>269</v>
      </c>
      <c r="B172" s="370"/>
      <c r="C172" s="370"/>
      <c r="D172" s="370"/>
      <c r="E172" s="370"/>
      <c r="F172" s="370"/>
      <c r="G172" s="371"/>
    </row>
    <row r="173" spans="1:11" ht="16.2" thickBot="1">
      <c r="A173" s="157" t="s">
        <v>270</v>
      </c>
      <c r="B173" s="153" t="s">
        <v>271</v>
      </c>
      <c r="C173" s="152">
        <v>2500</v>
      </c>
      <c r="D173" s="152">
        <v>2300</v>
      </c>
      <c r="E173" s="152">
        <v>2300</v>
      </c>
      <c r="F173" s="152">
        <v>2300</v>
      </c>
      <c r="G173" s="152">
        <v>2200</v>
      </c>
    </row>
    <row r="174" spans="1:11" ht="16.2" thickBot="1">
      <c r="A174" s="157" t="s">
        <v>272</v>
      </c>
      <c r="B174" s="159" t="s">
        <v>271</v>
      </c>
      <c r="C174" s="158">
        <v>2450</v>
      </c>
      <c r="D174" s="158">
        <v>2255</v>
      </c>
      <c r="E174" s="158">
        <v>2255</v>
      </c>
      <c r="F174" s="158">
        <v>2055</v>
      </c>
      <c r="G174" s="158">
        <v>2150</v>
      </c>
    </row>
    <row r="175" spans="1:11" ht="16.2" thickBot="1">
      <c r="A175" s="157" t="s">
        <v>273</v>
      </c>
      <c r="B175" s="156" t="s">
        <v>271</v>
      </c>
      <c r="C175" s="155">
        <v>3100</v>
      </c>
      <c r="D175" s="155">
        <v>2850</v>
      </c>
      <c r="E175" s="155">
        <v>2850</v>
      </c>
      <c r="F175" s="155">
        <v>2850</v>
      </c>
      <c r="G175" s="155">
        <v>2730</v>
      </c>
    </row>
    <row r="176" spans="1:11" ht="27" thickBot="1">
      <c r="A176" s="157" t="s">
        <v>274</v>
      </c>
      <c r="B176" s="159"/>
      <c r="C176" s="375" t="s">
        <v>275</v>
      </c>
      <c r="D176" s="376"/>
      <c r="E176" s="376"/>
      <c r="F176" s="376"/>
      <c r="G176" s="377"/>
    </row>
    <row r="177" spans="1:7" ht="15" thickBot="1">
      <c r="A177" s="157" t="s">
        <v>276</v>
      </c>
      <c r="B177" s="156" t="s">
        <v>262</v>
      </c>
      <c r="C177" s="155">
        <v>11</v>
      </c>
      <c r="D177" s="155">
        <v>11</v>
      </c>
      <c r="E177" s="155">
        <v>11</v>
      </c>
      <c r="F177" s="155">
        <v>11</v>
      </c>
      <c r="G177" s="155" t="s">
        <v>277</v>
      </c>
    </row>
    <row r="178" spans="1:7" ht="27" thickBot="1">
      <c r="A178" s="157" t="s">
        <v>278</v>
      </c>
      <c r="B178" s="159" t="s">
        <v>279</v>
      </c>
      <c r="C178" s="158">
        <v>2.5</v>
      </c>
      <c r="D178" s="158">
        <v>2.5</v>
      </c>
      <c r="E178" s="158">
        <v>2.5</v>
      </c>
      <c r="F178" s="158">
        <v>2.5</v>
      </c>
      <c r="G178" s="158">
        <v>2.5</v>
      </c>
    </row>
    <row r="179" spans="1:7" ht="16.2" thickBot="1">
      <c r="A179" s="157" t="s">
        <v>280</v>
      </c>
      <c r="B179" s="156" t="s">
        <v>281</v>
      </c>
      <c r="C179" s="155">
        <v>5</v>
      </c>
      <c r="D179" s="155">
        <v>5</v>
      </c>
      <c r="E179" s="155">
        <v>5</v>
      </c>
      <c r="F179" s="155">
        <v>5</v>
      </c>
      <c r="G179" s="155">
        <v>5</v>
      </c>
    </row>
    <row r="180" spans="1:7" ht="15" thickBot="1">
      <c r="A180" s="157" t="s">
        <v>283</v>
      </c>
      <c r="B180" s="159">
        <v>1</v>
      </c>
      <c r="C180" s="158">
        <v>300</v>
      </c>
      <c r="D180" s="158">
        <v>300</v>
      </c>
      <c r="E180" s="158">
        <v>300</v>
      </c>
      <c r="F180" s="158">
        <v>300</v>
      </c>
      <c r="G180" s="158">
        <v>300</v>
      </c>
    </row>
    <row r="181" spans="1:7" ht="15" thickBot="1">
      <c r="A181" s="369" t="s">
        <v>284</v>
      </c>
      <c r="B181" s="370"/>
      <c r="C181" s="370"/>
      <c r="D181" s="370"/>
      <c r="E181" s="370"/>
      <c r="F181" s="370"/>
      <c r="G181" s="371"/>
    </row>
    <row r="182" spans="1:7" ht="29.4" thickBot="1">
      <c r="A182" s="157" t="s">
        <v>285</v>
      </c>
      <c r="B182" s="161" t="s">
        <v>286</v>
      </c>
      <c r="C182" s="160">
        <v>900</v>
      </c>
      <c r="D182" s="160">
        <v>880</v>
      </c>
      <c r="E182" s="160">
        <v>880</v>
      </c>
      <c r="F182" s="160">
        <v>860</v>
      </c>
      <c r="G182" s="160">
        <v>810</v>
      </c>
    </row>
    <row r="183" spans="1:7" ht="29.4" thickBot="1">
      <c r="A183" s="157" t="s">
        <v>287</v>
      </c>
      <c r="B183" s="156" t="s">
        <v>286</v>
      </c>
      <c r="C183" s="155">
        <v>100</v>
      </c>
      <c r="D183" s="155">
        <v>98</v>
      </c>
      <c r="E183" s="155">
        <v>98</v>
      </c>
      <c r="F183" s="155">
        <v>96</v>
      </c>
      <c r="G183" s="155">
        <v>90</v>
      </c>
    </row>
    <row r="184" spans="1:7" ht="15" thickBot="1">
      <c r="A184" s="157" t="s">
        <v>288</v>
      </c>
      <c r="B184" s="159" t="s">
        <v>289</v>
      </c>
      <c r="C184" s="158">
        <v>1280</v>
      </c>
      <c r="D184" s="158">
        <v>1250</v>
      </c>
      <c r="E184" s="158">
        <v>1250</v>
      </c>
      <c r="F184" s="158">
        <v>1220</v>
      </c>
      <c r="G184" s="158">
        <v>1150</v>
      </c>
    </row>
    <row r="185" spans="1:7" ht="15" thickBot="1">
      <c r="A185" s="157" t="s">
        <v>290</v>
      </c>
      <c r="B185" s="156" t="s">
        <v>289</v>
      </c>
      <c r="C185" s="155">
        <v>1610</v>
      </c>
      <c r="D185" s="155">
        <v>1575</v>
      </c>
      <c r="E185" s="155">
        <v>1575</v>
      </c>
      <c r="F185" s="155">
        <v>1540</v>
      </c>
      <c r="G185" s="155">
        <v>1450</v>
      </c>
    </row>
    <row r="186" spans="1:7" ht="15" thickBot="1">
      <c r="A186" s="369" t="s">
        <v>291</v>
      </c>
      <c r="B186" s="370"/>
      <c r="C186" s="370"/>
      <c r="D186" s="370"/>
      <c r="E186" s="370"/>
      <c r="F186" s="370"/>
      <c r="G186" s="371"/>
    </row>
    <row r="187" spans="1:7" ht="15" thickBot="1">
      <c r="A187" s="154" t="s">
        <v>295</v>
      </c>
      <c r="B187" s="153" t="s">
        <v>293</v>
      </c>
      <c r="C187" s="152" t="s">
        <v>277</v>
      </c>
      <c r="D187" s="152" t="s">
        <v>277</v>
      </c>
      <c r="E187" s="152" t="s">
        <v>277</v>
      </c>
      <c r="F187" s="152" t="s">
        <v>277</v>
      </c>
      <c r="G187" s="152" t="s">
        <v>277</v>
      </c>
    </row>
    <row r="189" spans="1:7" ht="15" thickBot="1">
      <c r="A189" s="12" t="s">
        <v>302</v>
      </c>
    </row>
    <row r="190" spans="1:7" ht="15" thickBot="1">
      <c r="A190" s="163"/>
      <c r="B190" s="162" t="s">
        <v>46</v>
      </c>
      <c r="C190" s="162">
        <v>2013</v>
      </c>
      <c r="D190" s="162">
        <v>2020</v>
      </c>
      <c r="E190" s="162">
        <v>2030</v>
      </c>
      <c r="F190" s="162">
        <v>2040</v>
      </c>
      <c r="G190" s="162">
        <v>2050</v>
      </c>
    </row>
    <row r="191" spans="1:7" ht="15.6" thickTop="1" thickBot="1">
      <c r="A191" s="372" t="s">
        <v>257</v>
      </c>
      <c r="B191" s="373"/>
      <c r="C191" s="373"/>
      <c r="D191" s="373"/>
      <c r="E191" s="373"/>
      <c r="F191" s="373"/>
      <c r="G191" s="374"/>
    </row>
    <row r="192" spans="1:7" ht="15" thickBot="1">
      <c r="A192" s="157" t="s">
        <v>258</v>
      </c>
      <c r="B192" s="153" t="s">
        <v>189</v>
      </c>
      <c r="C192" s="152">
        <v>600</v>
      </c>
      <c r="D192" s="152">
        <v>600</v>
      </c>
      <c r="E192" s="152">
        <v>600</v>
      </c>
      <c r="F192" s="152">
        <v>600</v>
      </c>
      <c r="G192" s="152">
        <v>600</v>
      </c>
    </row>
    <row r="193" spans="1:7" ht="27" thickBot="1">
      <c r="A193" s="157" t="s">
        <v>259</v>
      </c>
      <c r="B193" s="159" t="s">
        <v>189</v>
      </c>
      <c r="C193" s="158">
        <v>725</v>
      </c>
      <c r="D193" s="158">
        <v>725</v>
      </c>
      <c r="E193" s="158">
        <v>725</v>
      </c>
      <c r="F193" s="158">
        <v>725</v>
      </c>
      <c r="G193" s="158">
        <v>725</v>
      </c>
    </row>
    <row r="194" spans="1:7" ht="15" thickBot="1">
      <c r="A194" s="157" t="s">
        <v>260</v>
      </c>
      <c r="B194" s="156" t="s">
        <v>189</v>
      </c>
      <c r="C194" s="155">
        <v>1400</v>
      </c>
      <c r="D194" s="155">
        <v>1330</v>
      </c>
      <c r="E194" s="155">
        <v>1300</v>
      </c>
      <c r="F194" s="155">
        <v>1280</v>
      </c>
      <c r="G194" s="155">
        <v>1280</v>
      </c>
    </row>
    <row r="195" spans="1:7" ht="15" thickBot="1">
      <c r="A195" s="157" t="s">
        <v>261</v>
      </c>
      <c r="B195" s="159" t="s">
        <v>262</v>
      </c>
      <c r="C195" s="158">
        <v>90</v>
      </c>
      <c r="D195" s="158">
        <v>90</v>
      </c>
      <c r="E195" s="158">
        <v>90</v>
      </c>
      <c r="F195" s="158">
        <v>90</v>
      </c>
      <c r="G195" s="158">
        <v>90</v>
      </c>
    </row>
    <row r="196" spans="1:7" ht="15" thickBot="1">
      <c r="A196" s="157" t="s">
        <v>263</v>
      </c>
      <c r="B196" s="156" t="s">
        <v>262</v>
      </c>
      <c r="C196" s="155">
        <v>85</v>
      </c>
      <c r="D196" s="155">
        <v>85</v>
      </c>
      <c r="E196" s="155">
        <v>85</v>
      </c>
      <c r="F196" s="155">
        <v>85</v>
      </c>
      <c r="G196" s="155">
        <v>85</v>
      </c>
    </row>
    <row r="197" spans="1:7" ht="15" thickBot="1">
      <c r="A197" s="157" t="s">
        <v>264</v>
      </c>
      <c r="B197" s="159" t="s">
        <v>265</v>
      </c>
      <c r="C197" s="158">
        <v>35</v>
      </c>
      <c r="D197" s="158">
        <v>35</v>
      </c>
      <c r="E197" s="158">
        <v>35</v>
      </c>
      <c r="F197" s="158">
        <v>35</v>
      </c>
      <c r="G197" s="158">
        <v>35</v>
      </c>
    </row>
    <row r="198" spans="1:7" ht="15" thickBot="1">
      <c r="A198" s="157" t="s">
        <v>266</v>
      </c>
      <c r="B198" s="156" t="s">
        <v>262</v>
      </c>
      <c r="C198" s="155">
        <v>43</v>
      </c>
      <c r="D198" s="155">
        <v>45</v>
      </c>
      <c r="E198" s="155">
        <v>46</v>
      </c>
      <c r="F198" s="155">
        <v>47</v>
      </c>
      <c r="G198" s="155">
        <v>47</v>
      </c>
    </row>
    <row r="199" spans="1:7" ht="15" thickBot="1">
      <c r="A199" s="369" t="s">
        <v>269</v>
      </c>
      <c r="B199" s="370"/>
      <c r="C199" s="370"/>
      <c r="D199" s="370"/>
      <c r="E199" s="370"/>
      <c r="F199" s="370"/>
      <c r="G199" s="371"/>
    </row>
    <row r="200" spans="1:7" ht="16.2" thickBot="1">
      <c r="A200" s="157" t="s">
        <v>270</v>
      </c>
      <c r="B200" s="153" t="s">
        <v>271</v>
      </c>
      <c r="C200" s="152">
        <v>3100</v>
      </c>
      <c r="D200" s="152">
        <v>3000</v>
      </c>
      <c r="E200" s="152">
        <v>3000</v>
      </c>
      <c r="F200" s="152">
        <v>3000</v>
      </c>
      <c r="G200" s="152">
        <v>3000</v>
      </c>
    </row>
    <row r="201" spans="1:7" ht="16.2" thickBot="1">
      <c r="A201" s="157" t="s">
        <v>272</v>
      </c>
      <c r="B201" s="159" t="s">
        <v>271</v>
      </c>
      <c r="C201" s="158">
        <v>2650</v>
      </c>
      <c r="D201" s="158">
        <v>2600</v>
      </c>
      <c r="E201" s="158">
        <v>2600</v>
      </c>
      <c r="F201" s="158">
        <v>2600</v>
      </c>
      <c r="G201" s="158">
        <v>2600</v>
      </c>
    </row>
    <row r="202" spans="1:7" ht="16.2" thickBot="1">
      <c r="A202" s="157" t="s">
        <v>273</v>
      </c>
      <c r="B202" s="156" t="s">
        <v>271</v>
      </c>
      <c r="C202" s="155">
        <v>3350</v>
      </c>
      <c r="D202" s="155">
        <v>3250</v>
      </c>
      <c r="E202" s="155">
        <v>3250</v>
      </c>
      <c r="F202" s="155">
        <v>3250</v>
      </c>
      <c r="G202" s="155">
        <v>3250</v>
      </c>
    </row>
    <row r="203" spans="1:7" ht="27" thickBot="1">
      <c r="A203" s="157" t="s">
        <v>274</v>
      </c>
      <c r="B203" s="159"/>
      <c r="C203" s="375" t="s">
        <v>275</v>
      </c>
      <c r="D203" s="376"/>
      <c r="E203" s="376"/>
      <c r="F203" s="376"/>
      <c r="G203" s="377"/>
    </row>
    <row r="204" spans="1:7" ht="15" thickBot="1">
      <c r="A204" s="157" t="s">
        <v>276</v>
      </c>
      <c r="B204" s="156" t="s">
        <v>262</v>
      </c>
      <c r="C204" s="155" t="s">
        <v>277</v>
      </c>
      <c r="D204" s="155"/>
      <c r="E204" s="155"/>
      <c r="F204" s="155"/>
      <c r="G204" s="155"/>
    </row>
    <row r="205" spans="1:7" ht="27" thickBot="1">
      <c r="A205" s="157" t="s">
        <v>278</v>
      </c>
      <c r="B205" s="159" t="s">
        <v>279</v>
      </c>
      <c r="C205" s="158">
        <v>3</v>
      </c>
      <c r="D205" s="158">
        <v>3</v>
      </c>
      <c r="E205" s="158">
        <v>3</v>
      </c>
      <c r="F205" s="158">
        <v>3</v>
      </c>
      <c r="G205" s="158">
        <v>3</v>
      </c>
    </row>
    <row r="206" spans="1:7" ht="16.2" thickBot="1">
      <c r="A206" s="157" t="s">
        <v>280</v>
      </c>
      <c r="B206" s="156" t="s">
        <v>281</v>
      </c>
      <c r="C206" s="155">
        <v>7</v>
      </c>
      <c r="D206" s="155">
        <v>7</v>
      </c>
      <c r="E206" s="155">
        <v>7</v>
      </c>
      <c r="F206" s="155">
        <v>7</v>
      </c>
      <c r="G206" s="155">
        <v>7</v>
      </c>
    </row>
    <row r="207" spans="1:7" ht="15" thickBot="1">
      <c r="A207" s="157" t="s">
        <v>283</v>
      </c>
      <c r="B207" s="159">
        <v>1</v>
      </c>
      <c r="C207" s="158">
        <v>300</v>
      </c>
      <c r="D207" s="158">
        <v>300</v>
      </c>
      <c r="E207" s="158">
        <v>300</v>
      </c>
      <c r="F207" s="158">
        <v>300</v>
      </c>
      <c r="G207" s="158">
        <v>300</v>
      </c>
    </row>
    <row r="208" spans="1:7" ht="15" thickBot="1">
      <c r="A208" s="369" t="s">
        <v>284</v>
      </c>
      <c r="B208" s="370"/>
      <c r="C208" s="370"/>
      <c r="D208" s="370"/>
      <c r="E208" s="370"/>
      <c r="F208" s="370"/>
      <c r="G208" s="371"/>
    </row>
    <row r="209" spans="1:7" ht="29.4" thickBot="1">
      <c r="A209" s="157" t="s">
        <v>285</v>
      </c>
      <c r="B209" s="161" t="s">
        <v>286</v>
      </c>
      <c r="C209" s="160">
        <v>1005</v>
      </c>
      <c r="D209" s="160">
        <v>960</v>
      </c>
      <c r="E209" s="160">
        <v>940</v>
      </c>
      <c r="F209" s="160">
        <v>920</v>
      </c>
      <c r="G209" s="160">
        <v>920</v>
      </c>
    </row>
    <row r="210" spans="1:7" ht="29.4" thickBot="1">
      <c r="A210" s="157" t="s">
        <v>287</v>
      </c>
      <c r="B210" s="156" t="s">
        <v>286</v>
      </c>
      <c r="C210" s="155">
        <v>115</v>
      </c>
      <c r="D210" s="155">
        <v>110</v>
      </c>
      <c r="E210" s="155">
        <v>105</v>
      </c>
      <c r="F210" s="155">
        <v>100</v>
      </c>
      <c r="G210" s="155">
        <v>100</v>
      </c>
    </row>
    <row r="211" spans="1:7" ht="15" thickBot="1">
      <c r="A211" s="157" t="s">
        <v>288</v>
      </c>
      <c r="B211" s="159" t="s">
        <v>289</v>
      </c>
      <c r="C211" s="158">
        <v>580</v>
      </c>
      <c r="D211" s="158">
        <v>555</v>
      </c>
      <c r="E211" s="158">
        <v>545</v>
      </c>
      <c r="F211" s="158">
        <v>530</v>
      </c>
      <c r="G211" s="158">
        <v>530</v>
      </c>
    </row>
    <row r="212" spans="1:7" ht="15" thickBot="1">
      <c r="A212" s="157" t="s">
        <v>290</v>
      </c>
      <c r="B212" s="156" t="s">
        <v>289</v>
      </c>
      <c r="C212" s="155">
        <v>800</v>
      </c>
      <c r="D212" s="155">
        <v>765</v>
      </c>
      <c r="E212" s="155">
        <v>750</v>
      </c>
      <c r="F212" s="155">
        <v>735</v>
      </c>
      <c r="G212" s="155">
        <v>735</v>
      </c>
    </row>
    <row r="213" spans="1:7" ht="15" thickBot="1">
      <c r="A213" s="369" t="s">
        <v>291</v>
      </c>
      <c r="B213" s="370"/>
      <c r="C213" s="370"/>
      <c r="D213" s="370"/>
      <c r="E213" s="370"/>
      <c r="F213" s="370"/>
      <c r="G213" s="371"/>
    </row>
    <row r="214" spans="1:7" ht="15" thickBot="1">
      <c r="A214" s="154" t="s">
        <v>292</v>
      </c>
      <c r="B214" s="153" t="s">
        <v>293</v>
      </c>
      <c r="C214" s="152" t="s">
        <v>277</v>
      </c>
      <c r="D214" s="152" t="s">
        <v>277</v>
      </c>
      <c r="E214" s="152" t="s">
        <v>277</v>
      </c>
      <c r="F214" s="152" t="s">
        <v>277</v>
      </c>
      <c r="G214" s="152" t="s">
        <v>277</v>
      </c>
    </row>
  </sheetData>
  <mergeCells count="40">
    <mergeCell ref="A3:G3"/>
    <mergeCell ref="A11:G11"/>
    <mergeCell ref="C15:G15"/>
    <mergeCell ref="A19:G19"/>
    <mergeCell ref="A24:G24"/>
    <mergeCell ref="A63:G63"/>
    <mergeCell ref="C67:G67"/>
    <mergeCell ref="A71:G71"/>
    <mergeCell ref="A76:G76"/>
    <mergeCell ref="A29:G29"/>
    <mergeCell ref="A37:G37"/>
    <mergeCell ref="C41:G41"/>
    <mergeCell ref="A45:G45"/>
    <mergeCell ref="A50:G50"/>
    <mergeCell ref="A55:G55"/>
    <mergeCell ref="A81:G81"/>
    <mergeCell ref="A89:G89"/>
    <mergeCell ref="A159:G159"/>
    <mergeCell ref="A99:G99"/>
    <mergeCell ref="A104:G104"/>
    <mergeCell ref="A109:G109"/>
    <mergeCell ref="A117:G117"/>
    <mergeCell ref="C121:G121"/>
    <mergeCell ref="A127:G127"/>
    <mergeCell ref="A132:G132"/>
    <mergeCell ref="C93:G93"/>
    <mergeCell ref="A137:G137"/>
    <mergeCell ref="A145:G145"/>
    <mergeCell ref="C149:G149"/>
    <mergeCell ref="A154:G154"/>
    <mergeCell ref="A199:G199"/>
    <mergeCell ref="A208:G208"/>
    <mergeCell ref="A213:G213"/>
    <mergeCell ref="A164:G164"/>
    <mergeCell ref="A172:G172"/>
    <mergeCell ref="C176:G176"/>
    <mergeCell ref="A181:G181"/>
    <mergeCell ref="A186:G186"/>
    <mergeCell ref="A191:G191"/>
    <mergeCell ref="C203:G20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70C0"/>
  </sheetPr>
  <dimension ref="A1:W190"/>
  <sheetViews>
    <sheetView topLeftCell="A33" workbookViewId="0">
      <selection activeCell="L176" sqref="L176"/>
    </sheetView>
  </sheetViews>
  <sheetFormatPr defaultColWidth="9.109375" defaultRowHeight="14.4"/>
  <cols>
    <col min="1" max="1" width="22.6640625" style="134" customWidth="1"/>
    <col min="2" max="2" width="12.88671875" style="134" customWidth="1"/>
    <col min="3" max="9" width="9.109375" style="134"/>
    <col min="10" max="10" width="22.109375" style="134" customWidth="1"/>
    <col min="11" max="11" width="12.44140625" style="134" customWidth="1"/>
    <col min="12" max="17" width="9.109375" style="134"/>
    <col min="18" max="18" width="42.33203125" bestFit="1" customWidth="1"/>
    <col min="19" max="16384" width="9.109375" style="134"/>
  </cols>
  <sheetData>
    <row r="1" spans="1:23">
      <c r="R1" s="134"/>
    </row>
    <row r="2" spans="1:23" ht="21">
      <c r="A2" s="166" t="s">
        <v>321</v>
      </c>
      <c r="R2" s="134"/>
    </row>
    <row r="3" spans="1:23">
      <c r="A3" s="134" t="s">
        <v>322</v>
      </c>
      <c r="R3" s="134"/>
    </row>
    <row r="4" spans="1:23">
      <c r="R4" s="134"/>
    </row>
    <row r="5" spans="1:23">
      <c r="A5" s="12" t="s">
        <v>324</v>
      </c>
      <c r="R5" s="134"/>
    </row>
    <row r="6" spans="1:23">
      <c r="A6" s="134" t="s">
        <v>323</v>
      </c>
      <c r="R6" s="134"/>
    </row>
    <row r="7" spans="1:23">
      <c r="A7" s="134" t="s">
        <v>325</v>
      </c>
      <c r="R7" s="134"/>
    </row>
    <row r="8" spans="1:23">
      <c r="A8" s="134" t="s">
        <v>326</v>
      </c>
      <c r="R8" s="134"/>
    </row>
    <row r="9" spans="1:23">
      <c r="A9" s="134" t="s">
        <v>331</v>
      </c>
      <c r="R9" s="134"/>
    </row>
    <row r="10" spans="1:23">
      <c r="R10" s="134"/>
    </row>
    <row r="11" spans="1:23" ht="15" thickBot="1">
      <c r="A11" s="12" t="s">
        <v>256</v>
      </c>
      <c r="J11" s="134" t="str">
        <f>"Comparison between ADV fossil and "&amp;A11</f>
        <v>Comparison between ADV fossil and CCGT advanced CCS post combustion</v>
      </c>
      <c r="R11" s="134"/>
      <c r="S11" s="134" t="s">
        <v>327</v>
      </c>
    </row>
    <row r="12" spans="1:23" ht="15" thickBot="1">
      <c r="A12" s="135"/>
      <c r="B12" s="136" t="s">
        <v>46</v>
      </c>
      <c r="C12" s="136">
        <v>2013</v>
      </c>
      <c r="D12" s="136">
        <v>2020</v>
      </c>
      <c r="E12" s="136">
        <v>2030</v>
      </c>
      <c r="F12" s="136">
        <v>2040</v>
      </c>
      <c r="G12" s="136">
        <v>2050</v>
      </c>
      <c r="J12" s="137"/>
      <c r="K12" s="137" t="s">
        <v>46</v>
      </c>
      <c r="L12" s="137">
        <v>2013</v>
      </c>
      <c r="M12" s="137">
        <v>2020</v>
      </c>
      <c r="N12" s="137">
        <v>2030</v>
      </c>
      <c r="O12" s="137">
        <v>2040</v>
      </c>
      <c r="P12" s="137">
        <v>2050</v>
      </c>
      <c r="R12" s="134"/>
      <c r="S12" s="137">
        <v>2013</v>
      </c>
      <c r="T12" s="137">
        <v>2020</v>
      </c>
      <c r="U12" s="137">
        <v>2030</v>
      </c>
      <c r="V12" s="137">
        <v>2040</v>
      </c>
      <c r="W12" s="137">
        <v>2050</v>
      </c>
    </row>
    <row r="13" spans="1:23" ht="15.6" thickTop="1" thickBot="1">
      <c r="A13" s="378" t="s">
        <v>257</v>
      </c>
      <c r="B13" s="379"/>
      <c r="C13" s="379"/>
      <c r="D13" s="379"/>
      <c r="E13" s="379"/>
      <c r="F13" s="379"/>
      <c r="G13" s="380"/>
      <c r="J13" s="137" t="s">
        <v>257</v>
      </c>
      <c r="R13" s="134"/>
    </row>
    <row r="14" spans="1:23" ht="15" thickBot="1">
      <c r="A14" s="138" t="s">
        <v>258</v>
      </c>
      <c r="B14" s="139" t="s">
        <v>189</v>
      </c>
      <c r="C14" s="140">
        <v>485</v>
      </c>
      <c r="D14" s="140">
        <v>485</v>
      </c>
      <c r="E14" s="140">
        <v>485</v>
      </c>
      <c r="F14" s="140">
        <v>485</v>
      </c>
      <c r="G14" s="140">
        <v>485</v>
      </c>
      <c r="J14" s="137" t="s">
        <v>258</v>
      </c>
      <c r="K14" s="134" t="s">
        <v>189</v>
      </c>
      <c r="R14" s="134"/>
    </row>
    <row r="15" spans="1:23" ht="15" thickBot="1">
      <c r="A15" s="138" t="s">
        <v>259</v>
      </c>
      <c r="B15" s="141" t="s">
        <v>189</v>
      </c>
      <c r="C15" s="142">
        <v>550</v>
      </c>
      <c r="D15" s="142">
        <v>550</v>
      </c>
      <c r="E15" s="142">
        <v>550</v>
      </c>
      <c r="F15" s="142">
        <v>550</v>
      </c>
      <c r="G15" s="142">
        <v>550</v>
      </c>
      <c r="J15" s="137" t="s">
        <v>259</v>
      </c>
      <c r="K15" s="134" t="s">
        <v>189</v>
      </c>
      <c r="R15" s="134"/>
    </row>
    <row r="16" spans="1:23" ht="15" thickBot="1">
      <c r="A16" s="138" t="s">
        <v>260</v>
      </c>
      <c r="B16" s="143" t="s">
        <v>189</v>
      </c>
      <c r="C16" s="144">
        <v>970</v>
      </c>
      <c r="D16" s="144">
        <v>930</v>
      </c>
      <c r="E16" s="144">
        <v>880</v>
      </c>
      <c r="F16" s="144">
        <v>880</v>
      </c>
      <c r="G16" s="144">
        <v>880</v>
      </c>
      <c r="J16" s="137" t="s">
        <v>260</v>
      </c>
      <c r="K16" s="134" t="s">
        <v>189</v>
      </c>
      <c r="R16" s="134"/>
    </row>
    <row r="17" spans="1:23" ht="15" thickBot="1">
      <c r="A17" s="138" t="s">
        <v>261</v>
      </c>
      <c r="B17" s="141" t="s">
        <v>262</v>
      </c>
      <c r="C17" s="142">
        <v>90</v>
      </c>
      <c r="D17" s="142">
        <v>90</v>
      </c>
      <c r="E17" s="142">
        <v>90</v>
      </c>
      <c r="F17" s="142">
        <v>90</v>
      </c>
      <c r="G17" s="142">
        <v>90</v>
      </c>
      <c r="J17" s="137" t="s">
        <v>261</v>
      </c>
      <c r="K17" s="134" t="s">
        <v>262</v>
      </c>
      <c r="L17" s="134">
        <f>C17-'Adv fossil'!C59</f>
        <v>0</v>
      </c>
      <c r="M17" s="134">
        <f>D17-'Adv fossil'!D59</f>
        <v>0</v>
      </c>
      <c r="N17" s="134">
        <f>E17-'Adv fossil'!E59</f>
        <v>0</v>
      </c>
      <c r="O17" s="134">
        <f>F17-'Adv fossil'!F59</f>
        <v>0</v>
      </c>
      <c r="P17" s="134">
        <f>G17-'Adv fossil'!G59</f>
        <v>0</v>
      </c>
      <c r="R17" s="134"/>
    </row>
    <row r="18" spans="1:23" ht="15" thickBot="1">
      <c r="A18" s="138" t="s">
        <v>263</v>
      </c>
      <c r="B18" s="143" t="s">
        <v>262</v>
      </c>
      <c r="C18" s="144">
        <v>85</v>
      </c>
      <c r="D18" s="144">
        <v>85</v>
      </c>
      <c r="E18" s="144">
        <v>85</v>
      </c>
      <c r="F18" s="144">
        <v>85</v>
      </c>
      <c r="G18" s="144">
        <v>85</v>
      </c>
      <c r="J18" s="137" t="s">
        <v>263</v>
      </c>
      <c r="K18" s="134" t="s">
        <v>262</v>
      </c>
      <c r="L18" s="134">
        <f>C18-'Adv fossil'!C60</f>
        <v>0</v>
      </c>
      <c r="M18" s="134">
        <f>D18-'Adv fossil'!D60</f>
        <v>0</v>
      </c>
      <c r="N18" s="134">
        <f>E18-'Adv fossil'!E60</f>
        <v>0</v>
      </c>
      <c r="O18" s="134">
        <f>F18-'Adv fossil'!F60</f>
        <v>0</v>
      </c>
      <c r="P18" s="134">
        <f>G18-'Adv fossil'!G60</f>
        <v>0</v>
      </c>
      <c r="R18" s="134"/>
    </row>
    <row r="19" spans="1:23" ht="15" thickBot="1">
      <c r="A19" s="138" t="s">
        <v>264</v>
      </c>
      <c r="B19" s="141" t="s">
        <v>265</v>
      </c>
      <c r="C19" s="142">
        <v>30</v>
      </c>
      <c r="D19" s="142">
        <v>30</v>
      </c>
      <c r="E19" s="142">
        <v>30</v>
      </c>
      <c r="F19" s="142">
        <v>30</v>
      </c>
      <c r="G19" s="142">
        <v>30</v>
      </c>
      <c r="J19" s="137" t="s">
        <v>264</v>
      </c>
      <c r="K19" s="134" t="s">
        <v>265</v>
      </c>
      <c r="L19" s="134">
        <f>C19-'Adv fossil'!C61</f>
        <v>0</v>
      </c>
      <c r="M19" s="134">
        <f>D19-'Adv fossil'!D61</f>
        <v>0</v>
      </c>
      <c r="N19" s="134">
        <f>E19-'Adv fossil'!E61</f>
        <v>0</v>
      </c>
      <c r="O19" s="134">
        <f>F19-'Adv fossil'!F61</f>
        <v>0</v>
      </c>
      <c r="P19" s="134">
        <f>G19-'Adv fossil'!G61</f>
        <v>0</v>
      </c>
      <c r="R19" s="134"/>
    </row>
    <row r="20" spans="1:23" ht="15" thickBot="1">
      <c r="A20" s="138" t="s">
        <v>266</v>
      </c>
      <c r="B20" s="143" t="s">
        <v>262</v>
      </c>
      <c r="C20" s="144">
        <v>50</v>
      </c>
      <c r="D20" s="144">
        <v>52</v>
      </c>
      <c r="E20" s="144">
        <v>55</v>
      </c>
      <c r="F20" s="144">
        <v>55</v>
      </c>
      <c r="G20" s="144">
        <v>55</v>
      </c>
      <c r="J20" s="137" t="s">
        <v>266</v>
      </c>
      <c r="K20" s="134" t="s">
        <v>262</v>
      </c>
      <c r="L20" s="145">
        <f>C20-'Adv fossil'!C62</f>
        <v>-8</v>
      </c>
      <c r="M20" s="145">
        <f>D20-'Adv fossil'!D62</f>
        <v>-8</v>
      </c>
      <c r="N20" s="145">
        <f>E20-'Adv fossil'!E62</f>
        <v>-7</v>
      </c>
      <c r="O20" s="145">
        <f>F20-'Adv fossil'!F62</f>
        <v>-7</v>
      </c>
      <c r="P20" s="145">
        <f>G20-'Adv fossil'!G62</f>
        <v>-8</v>
      </c>
      <c r="R20" s="134" t="s">
        <v>328</v>
      </c>
      <c r="S20" s="134">
        <f>-L20+C20</f>
        <v>58</v>
      </c>
      <c r="T20" s="134">
        <f t="shared" ref="T20:W20" si="0">-M20+D20</f>
        <v>60</v>
      </c>
      <c r="U20" s="134">
        <f t="shared" si="0"/>
        <v>62</v>
      </c>
      <c r="V20" s="134">
        <f t="shared" si="0"/>
        <v>62</v>
      </c>
      <c r="W20" s="134">
        <f t="shared" si="0"/>
        <v>63</v>
      </c>
    </row>
    <row r="21" spans="1:23" ht="27" thickBot="1">
      <c r="A21" s="138" t="s">
        <v>267</v>
      </c>
      <c r="B21" s="141" t="s">
        <v>262</v>
      </c>
      <c r="C21" s="142">
        <v>8</v>
      </c>
      <c r="D21" s="142">
        <v>8</v>
      </c>
      <c r="E21" s="142">
        <v>7</v>
      </c>
      <c r="F21" s="142">
        <v>7</v>
      </c>
      <c r="G21" s="142">
        <v>7</v>
      </c>
      <c r="J21" s="137" t="s">
        <v>267</v>
      </c>
      <c r="K21" s="134" t="s">
        <v>262</v>
      </c>
      <c r="L21" s="134">
        <f>C21</f>
        <v>8</v>
      </c>
      <c r="M21" s="134">
        <f>D21</f>
        <v>8</v>
      </c>
      <c r="N21" s="134">
        <f>E21</f>
        <v>7</v>
      </c>
      <c r="O21" s="134">
        <f>F21</f>
        <v>7</v>
      </c>
      <c r="P21" s="134">
        <f>G21</f>
        <v>7</v>
      </c>
      <c r="R21" s="134" t="s">
        <v>329</v>
      </c>
      <c r="S21" s="134">
        <f>L21</f>
        <v>8</v>
      </c>
      <c r="T21" s="134">
        <f t="shared" ref="T21:W21" si="1">M21</f>
        <v>8</v>
      </c>
      <c r="U21" s="134">
        <f t="shared" si="1"/>
        <v>7</v>
      </c>
      <c r="V21" s="134">
        <f t="shared" si="1"/>
        <v>7</v>
      </c>
      <c r="W21" s="134">
        <f t="shared" si="1"/>
        <v>7</v>
      </c>
    </row>
    <row r="22" spans="1:23" ht="29.4" thickBot="1">
      <c r="A22" s="138" t="s">
        <v>268</v>
      </c>
      <c r="B22" s="143" t="s">
        <v>262</v>
      </c>
      <c r="C22" s="144">
        <v>86</v>
      </c>
      <c r="D22" s="144">
        <v>86</v>
      </c>
      <c r="E22" s="144">
        <v>86</v>
      </c>
      <c r="F22" s="144">
        <v>86</v>
      </c>
      <c r="G22" s="144">
        <v>86</v>
      </c>
      <c r="J22" s="137" t="s">
        <v>268</v>
      </c>
      <c r="K22" s="134" t="s">
        <v>262</v>
      </c>
      <c r="R22" s="134" t="s">
        <v>330</v>
      </c>
      <c r="S22" s="134">
        <f>S21/S20</f>
        <v>0.13793103448275862</v>
      </c>
      <c r="T22" s="134">
        <f t="shared" ref="T22:W22" si="2">T21/T20</f>
        <v>0.13333333333333333</v>
      </c>
      <c r="U22" s="134">
        <f t="shared" si="2"/>
        <v>0.11290322580645161</v>
      </c>
      <c r="V22" s="134">
        <f t="shared" si="2"/>
        <v>0.11290322580645161</v>
      </c>
      <c r="W22" s="134">
        <f t="shared" si="2"/>
        <v>0.1111111111111111</v>
      </c>
    </row>
    <row r="23" spans="1:23" ht="15" thickBot="1">
      <c r="A23" s="381" t="s">
        <v>269</v>
      </c>
      <c r="B23" s="382"/>
      <c r="C23" s="382"/>
      <c r="D23" s="382"/>
      <c r="E23" s="382"/>
      <c r="F23" s="382"/>
      <c r="G23" s="383"/>
      <c r="J23" s="137" t="s">
        <v>269</v>
      </c>
      <c r="K23" s="137"/>
      <c r="L23" s="137"/>
      <c r="M23" s="137"/>
      <c r="N23" s="137"/>
      <c r="O23" s="137"/>
      <c r="P23" s="137"/>
      <c r="R23" s="134"/>
    </row>
    <row r="24" spans="1:23" ht="16.2" thickBot="1">
      <c r="A24" s="138" t="s">
        <v>270</v>
      </c>
      <c r="B24" s="139" t="s">
        <v>271</v>
      </c>
      <c r="C24" s="140">
        <v>1500</v>
      </c>
      <c r="D24" s="140">
        <v>1500</v>
      </c>
      <c r="E24" s="140">
        <v>1500</v>
      </c>
      <c r="F24" s="140">
        <v>1500</v>
      </c>
      <c r="G24" s="140">
        <v>1500</v>
      </c>
      <c r="J24" s="137" t="s">
        <v>270</v>
      </c>
      <c r="K24" s="134" t="s">
        <v>271</v>
      </c>
      <c r="L24" s="145">
        <f>C24-'Adv fossil'!C64</f>
        <v>650</v>
      </c>
      <c r="M24" s="145">
        <f>D24-'Adv fossil'!D64</f>
        <v>650</v>
      </c>
      <c r="N24" s="145">
        <f>E24-'Adv fossil'!E64</f>
        <v>650</v>
      </c>
      <c r="O24" s="145">
        <f>F24-'Adv fossil'!F64</f>
        <v>650</v>
      </c>
      <c r="P24" s="145">
        <f>G24-'Adv fossil'!G64</f>
        <v>650</v>
      </c>
      <c r="R24" s="134"/>
    </row>
    <row r="25" spans="1:23" ht="16.2" thickBot="1">
      <c r="A25" s="138" t="s">
        <v>272</v>
      </c>
      <c r="B25" s="141" t="s">
        <v>271</v>
      </c>
      <c r="C25" s="142">
        <v>1250</v>
      </c>
      <c r="D25" s="142">
        <v>1250</v>
      </c>
      <c r="E25" s="142">
        <v>1250</v>
      </c>
      <c r="F25" s="142">
        <v>1250</v>
      </c>
      <c r="G25" s="142">
        <v>1250</v>
      </c>
      <c r="J25" s="137" t="s">
        <v>272</v>
      </c>
      <c r="K25" s="134" t="s">
        <v>271</v>
      </c>
      <c r="L25" s="145">
        <f>C25-'Adv fossil'!C65</f>
        <v>550</v>
      </c>
      <c r="M25" s="145">
        <f>D25-'Adv fossil'!D65</f>
        <v>550</v>
      </c>
      <c r="N25" s="145">
        <f>E25-'Adv fossil'!E65</f>
        <v>550</v>
      </c>
      <c r="O25" s="145">
        <f>F25-'Adv fossil'!F65</f>
        <v>550</v>
      </c>
      <c r="P25" s="145">
        <f>G25-'Adv fossil'!G65</f>
        <v>550</v>
      </c>
      <c r="R25" s="134"/>
    </row>
    <row r="26" spans="1:23" ht="16.2" thickBot="1">
      <c r="A26" s="138" t="s">
        <v>273</v>
      </c>
      <c r="B26" s="143" t="s">
        <v>271</v>
      </c>
      <c r="C26" s="144">
        <v>1750</v>
      </c>
      <c r="D26" s="144">
        <v>1750</v>
      </c>
      <c r="E26" s="144">
        <v>1750</v>
      </c>
      <c r="F26" s="144">
        <v>1750</v>
      </c>
      <c r="G26" s="144">
        <v>1750</v>
      </c>
      <c r="J26" s="137" t="s">
        <v>273</v>
      </c>
      <c r="K26" s="134" t="s">
        <v>271</v>
      </c>
      <c r="L26" s="145">
        <f>C26-'Adv fossil'!C66</f>
        <v>800</v>
      </c>
      <c r="M26" s="145">
        <f>D26-'Adv fossil'!D66</f>
        <v>800</v>
      </c>
      <c r="N26" s="145">
        <f>E26-'Adv fossil'!E66</f>
        <v>800</v>
      </c>
      <c r="O26" s="145">
        <f>F26-'Adv fossil'!F66</f>
        <v>800</v>
      </c>
      <c r="P26" s="145">
        <f>G26-'Adv fossil'!G66</f>
        <v>800</v>
      </c>
      <c r="R26" s="134"/>
    </row>
    <row r="27" spans="1:23" ht="27" thickBot="1">
      <c r="A27" s="138" t="s">
        <v>274</v>
      </c>
      <c r="B27" s="141"/>
      <c r="C27" s="384" t="s">
        <v>275</v>
      </c>
      <c r="D27" s="385"/>
      <c r="E27" s="385"/>
      <c r="F27" s="385"/>
      <c r="G27" s="386"/>
      <c r="J27" s="137" t="s">
        <v>274</v>
      </c>
      <c r="L27" s="134" t="s">
        <v>275</v>
      </c>
      <c r="R27" s="134"/>
    </row>
    <row r="28" spans="1:23" ht="15" thickBot="1">
      <c r="A28" s="138" t="s">
        <v>276</v>
      </c>
      <c r="B28" s="143" t="s">
        <v>262</v>
      </c>
      <c r="C28" s="144" t="s">
        <v>277</v>
      </c>
      <c r="D28" s="144" t="s">
        <v>277</v>
      </c>
      <c r="E28" s="144" t="s">
        <v>277</v>
      </c>
      <c r="F28" s="144" t="s">
        <v>277</v>
      </c>
      <c r="G28" s="144" t="s">
        <v>277</v>
      </c>
      <c r="J28" s="137" t="s">
        <v>276</v>
      </c>
      <c r="K28" s="134" t="s">
        <v>262</v>
      </c>
      <c r="L28" s="134" t="s">
        <v>277</v>
      </c>
      <c r="M28" s="134" t="s">
        <v>277</v>
      </c>
      <c r="N28" s="134" t="s">
        <v>277</v>
      </c>
      <c r="O28" s="134" t="s">
        <v>277</v>
      </c>
      <c r="P28" s="134" t="s">
        <v>277</v>
      </c>
      <c r="R28" s="134"/>
    </row>
    <row r="29" spans="1:23" ht="27" thickBot="1">
      <c r="A29" s="138" t="s">
        <v>278</v>
      </c>
      <c r="B29" s="141" t="s">
        <v>279</v>
      </c>
      <c r="C29" s="142">
        <v>2.5</v>
      </c>
      <c r="D29" s="142">
        <v>2.5</v>
      </c>
      <c r="E29" s="142">
        <v>2.5</v>
      </c>
      <c r="F29" s="142">
        <v>2.5</v>
      </c>
      <c r="G29" s="142">
        <v>2.5</v>
      </c>
      <c r="J29" s="137" t="s">
        <v>278</v>
      </c>
      <c r="K29" s="146" t="s">
        <v>279</v>
      </c>
      <c r="L29" s="147">
        <f>C29</f>
        <v>2.5</v>
      </c>
      <c r="M29" s="147">
        <f t="shared" ref="M29:P29" si="3">D29</f>
        <v>2.5</v>
      </c>
      <c r="N29" s="147">
        <f t="shared" si="3"/>
        <v>2.5</v>
      </c>
      <c r="O29" s="147">
        <f t="shared" si="3"/>
        <v>2.5</v>
      </c>
      <c r="P29" s="147">
        <f t="shared" si="3"/>
        <v>2.5</v>
      </c>
      <c r="R29" s="134"/>
    </row>
    <row r="30" spans="1:23" ht="16.2" thickBot="1">
      <c r="A30" s="138" t="s">
        <v>280</v>
      </c>
      <c r="B30" s="143" t="s">
        <v>281</v>
      </c>
      <c r="C30" s="144">
        <v>4</v>
      </c>
      <c r="D30" s="144">
        <v>4</v>
      </c>
      <c r="E30" s="144">
        <v>4</v>
      </c>
      <c r="F30" s="144">
        <v>4</v>
      </c>
      <c r="G30" s="144">
        <v>4</v>
      </c>
      <c r="J30" s="137" t="s">
        <v>280</v>
      </c>
      <c r="K30" s="134" t="s">
        <v>281</v>
      </c>
      <c r="L30" s="145">
        <f>C30-'Adv fossil'!C70</f>
        <v>2</v>
      </c>
      <c r="M30" s="145">
        <f>D30-'Adv fossil'!D70</f>
        <v>2</v>
      </c>
      <c r="N30" s="145">
        <f>E30-'Adv fossil'!E70</f>
        <v>2</v>
      </c>
      <c r="O30" s="145">
        <f>F30-'Adv fossil'!F70</f>
        <v>2</v>
      </c>
      <c r="P30" s="145">
        <f>G30-'Adv fossil'!G70</f>
        <v>2</v>
      </c>
      <c r="R30" s="134"/>
    </row>
    <row r="31" spans="1:23" ht="16.2" thickBot="1">
      <c r="A31" s="138" t="s">
        <v>282</v>
      </c>
      <c r="B31" s="141" t="s">
        <v>281</v>
      </c>
      <c r="C31" s="142">
        <v>4</v>
      </c>
      <c r="D31" s="142" t="s">
        <v>277</v>
      </c>
      <c r="E31" s="142" t="s">
        <v>277</v>
      </c>
      <c r="F31" s="142" t="s">
        <v>277</v>
      </c>
      <c r="G31" s="142" t="s">
        <v>277</v>
      </c>
      <c r="J31" s="137" t="s">
        <v>282</v>
      </c>
      <c r="K31" s="134" t="s">
        <v>281</v>
      </c>
      <c r="R31" s="134"/>
    </row>
    <row r="32" spans="1:23" ht="15" thickBot="1">
      <c r="A32" s="138" t="s">
        <v>283</v>
      </c>
      <c r="B32" s="143">
        <v>1</v>
      </c>
      <c r="C32" s="144" t="s">
        <v>277</v>
      </c>
      <c r="D32" s="144" t="s">
        <v>277</v>
      </c>
      <c r="E32" s="144" t="s">
        <v>277</v>
      </c>
      <c r="F32" s="144" t="s">
        <v>277</v>
      </c>
      <c r="G32" s="144" t="s">
        <v>277</v>
      </c>
      <c r="J32" s="137" t="s">
        <v>283</v>
      </c>
      <c r="R32" s="134"/>
    </row>
    <row r="33" spans="1:23" ht="15" thickBot="1">
      <c r="A33" s="381" t="s">
        <v>284</v>
      </c>
      <c r="B33" s="382"/>
      <c r="C33" s="382"/>
      <c r="D33" s="382"/>
      <c r="E33" s="382"/>
      <c r="F33" s="382"/>
      <c r="G33" s="383"/>
      <c r="J33" s="137" t="s">
        <v>284</v>
      </c>
      <c r="K33" s="137"/>
      <c r="L33" s="137"/>
      <c r="M33" s="137"/>
      <c r="N33" s="137"/>
      <c r="O33" s="137"/>
      <c r="P33" s="137"/>
      <c r="R33" s="134"/>
    </row>
    <row r="34" spans="1:23" ht="29.4" thickBot="1">
      <c r="A34" s="138" t="s">
        <v>285</v>
      </c>
      <c r="B34" s="139" t="s">
        <v>286</v>
      </c>
      <c r="C34" s="140">
        <v>53</v>
      </c>
      <c r="D34" s="140">
        <v>50</v>
      </c>
      <c r="E34" s="140">
        <v>48</v>
      </c>
      <c r="F34" s="140">
        <v>48</v>
      </c>
      <c r="G34" s="140">
        <v>4</v>
      </c>
      <c r="J34" s="137" t="s">
        <v>285</v>
      </c>
      <c r="K34" s="134" t="s">
        <v>286</v>
      </c>
      <c r="R34" s="134"/>
    </row>
    <row r="35" spans="1:23" ht="29.4" thickBot="1">
      <c r="A35" s="138" t="s">
        <v>287</v>
      </c>
      <c r="B35" s="141" t="s">
        <v>286</v>
      </c>
      <c r="C35" s="142">
        <v>85</v>
      </c>
      <c r="D35" s="142">
        <v>85</v>
      </c>
      <c r="E35" s="142">
        <v>77</v>
      </c>
      <c r="F35" s="142">
        <v>77</v>
      </c>
      <c r="G35" s="142">
        <v>75</v>
      </c>
      <c r="J35" s="137" t="s">
        <v>287</v>
      </c>
      <c r="K35" s="134" t="s">
        <v>286</v>
      </c>
      <c r="R35" s="134"/>
    </row>
    <row r="36" spans="1:23" ht="15" thickBot="1">
      <c r="A36" s="138" t="s">
        <v>288</v>
      </c>
      <c r="B36" s="143" t="s">
        <v>289</v>
      </c>
      <c r="C36" s="144">
        <v>1450</v>
      </c>
      <c r="D36" s="144">
        <v>1400</v>
      </c>
      <c r="E36" s="144">
        <v>1320</v>
      </c>
      <c r="F36" s="144">
        <v>1320</v>
      </c>
      <c r="G36" s="144">
        <v>1295</v>
      </c>
      <c r="J36" s="137" t="s">
        <v>288</v>
      </c>
      <c r="K36" s="134" t="s">
        <v>289</v>
      </c>
      <c r="R36" s="134"/>
    </row>
    <row r="37" spans="1:23" ht="15" thickBot="1">
      <c r="A37" s="138" t="s">
        <v>290</v>
      </c>
      <c r="B37" s="141" t="s">
        <v>289</v>
      </c>
      <c r="C37" s="142">
        <v>1900</v>
      </c>
      <c r="D37" s="142">
        <v>1840</v>
      </c>
      <c r="E37" s="142">
        <v>1740</v>
      </c>
      <c r="F37" s="142">
        <v>1740</v>
      </c>
      <c r="G37" s="142">
        <v>1700</v>
      </c>
      <c r="J37" s="137" t="s">
        <v>290</v>
      </c>
      <c r="K37" s="134" t="s">
        <v>289</v>
      </c>
      <c r="R37" s="134"/>
    </row>
    <row r="38" spans="1:23" ht="15" thickBot="1">
      <c r="A38" s="381" t="s">
        <v>291</v>
      </c>
      <c r="B38" s="382"/>
      <c r="C38" s="382"/>
      <c r="D38" s="382"/>
      <c r="E38" s="382"/>
      <c r="F38" s="382"/>
      <c r="G38" s="383"/>
      <c r="J38" s="137" t="s">
        <v>291</v>
      </c>
      <c r="K38" s="137"/>
      <c r="L38" s="137"/>
      <c r="M38" s="137"/>
      <c r="N38" s="137"/>
      <c r="O38" s="137"/>
      <c r="P38" s="137"/>
      <c r="R38" s="134"/>
    </row>
    <row r="39" spans="1:23" ht="15" thickBot="1">
      <c r="A39" s="148" t="s">
        <v>292</v>
      </c>
      <c r="B39" s="149" t="s">
        <v>293</v>
      </c>
      <c r="C39" s="150" t="s">
        <v>277</v>
      </c>
      <c r="D39" s="150" t="s">
        <v>277</v>
      </c>
      <c r="E39" s="150" t="s">
        <v>277</v>
      </c>
      <c r="F39" s="150" t="s">
        <v>277</v>
      </c>
      <c r="G39" s="150" t="s">
        <v>277</v>
      </c>
      <c r="J39" s="137" t="s">
        <v>292</v>
      </c>
      <c r="K39" s="134" t="s">
        <v>293</v>
      </c>
      <c r="R39" s="134"/>
    </row>
    <row r="40" spans="1:23">
      <c r="R40" s="134"/>
    </row>
    <row r="41" spans="1:23" ht="15" thickBot="1">
      <c r="A41" s="12" t="s">
        <v>294</v>
      </c>
      <c r="J41" s="134" t="str">
        <f>"Comparison between ADV fossil and "&amp;A41</f>
        <v>Comparison between ADV fossil and Pulverised coal supercritical CCS post-combustion</v>
      </c>
      <c r="R41" s="134"/>
      <c r="S41" s="134" t="s">
        <v>327</v>
      </c>
    </row>
    <row r="42" spans="1:23" ht="15" thickBot="1">
      <c r="A42" s="135"/>
      <c r="B42" s="136" t="s">
        <v>46</v>
      </c>
      <c r="C42" s="136">
        <v>2013</v>
      </c>
      <c r="D42" s="136">
        <v>2020</v>
      </c>
      <c r="E42" s="136">
        <v>2030</v>
      </c>
      <c r="F42" s="136">
        <v>2040</v>
      </c>
      <c r="G42" s="136">
        <v>2050</v>
      </c>
      <c r="J42" s="137"/>
      <c r="K42" s="137" t="s">
        <v>46</v>
      </c>
      <c r="L42" s="137">
        <v>2013</v>
      </c>
      <c r="M42" s="137">
        <v>2020</v>
      </c>
      <c r="N42" s="137">
        <v>2030</v>
      </c>
      <c r="O42" s="137">
        <v>2040</v>
      </c>
      <c r="P42" s="137">
        <v>2050</v>
      </c>
      <c r="R42" s="134"/>
      <c r="S42" s="137">
        <v>2013</v>
      </c>
      <c r="T42" s="137">
        <v>2020</v>
      </c>
      <c r="U42" s="137">
        <v>2030</v>
      </c>
      <c r="V42" s="137">
        <v>2040</v>
      </c>
      <c r="W42" s="137">
        <v>2050</v>
      </c>
    </row>
    <row r="43" spans="1:23" ht="15.6" thickTop="1" thickBot="1">
      <c r="A43" s="378" t="s">
        <v>257</v>
      </c>
      <c r="B43" s="379"/>
      <c r="C43" s="379"/>
      <c r="D43" s="379"/>
      <c r="E43" s="379"/>
      <c r="F43" s="379"/>
      <c r="G43" s="380"/>
      <c r="J43" s="137" t="s">
        <v>257</v>
      </c>
      <c r="R43" s="134"/>
    </row>
    <row r="44" spans="1:23" ht="15" thickBot="1">
      <c r="A44" s="138" t="s">
        <v>258</v>
      </c>
      <c r="B44" s="139" t="s">
        <v>189</v>
      </c>
      <c r="C44" s="140">
        <v>630</v>
      </c>
      <c r="D44" s="140">
        <v>630</v>
      </c>
      <c r="E44" s="140">
        <v>630</v>
      </c>
      <c r="F44" s="140">
        <v>630</v>
      </c>
      <c r="G44" s="140">
        <v>630</v>
      </c>
      <c r="J44" s="137" t="s">
        <v>258</v>
      </c>
      <c r="K44" s="134" t="s">
        <v>189</v>
      </c>
      <c r="R44" s="134"/>
    </row>
    <row r="45" spans="1:23" ht="15" thickBot="1">
      <c r="A45" s="138" t="s">
        <v>259</v>
      </c>
      <c r="B45" s="141" t="s">
        <v>189</v>
      </c>
      <c r="C45" s="142">
        <v>790</v>
      </c>
      <c r="D45" s="142">
        <v>790</v>
      </c>
      <c r="E45" s="142">
        <v>790</v>
      </c>
      <c r="F45" s="142">
        <v>790</v>
      </c>
      <c r="G45" s="142">
        <v>790</v>
      </c>
      <c r="J45" s="137" t="s">
        <v>259</v>
      </c>
      <c r="K45" s="134" t="s">
        <v>189</v>
      </c>
      <c r="R45" s="134"/>
    </row>
    <row r="46" spans="1:23" ht="15" thickBot="1">
      <c r="A46" s="138" t="s">
        <v>260</v>
      </c>
      <c r="B46" s="143" t="s">
        <v>189</v>
      </c>
      <c r="C46" s="144">
        <v>1855</v>
      </c>
      <c r="D46" s="144">
        <v>1800</v>
      </c>
      <c r="E46" s="144">
        <v>1800</v>
      </c>
      <c r="F46" s="144">
        <v>1660</v>
      </c>
      <c r="G46" s="144">
        <v>1660</v>
      </c>
      <c r="J46" s="137" t="s">
        <v>260</v>
      </c>
      <c r="K46" s="134" t="s">
        <v>189</v>
      </c>
      <c r="R46" s="134"/>
    </row>
    <row r="47" spans="1:23" ht="15" thickBot="1">
      <c r="A47" s="138" t="s">
        <v>261</v>
      </c>
      <c r="B47" s="141" t="s">
        <v>262</v>
      </c>
      <c r="C47" s="142">
        <v>90</v>
      </c>
      <c r="D47" s="142">
        <v>90</v>
      </c>
      <c r="E47" s="142">
        <v>90</v>
      </c>
      <c r="F47" s="142">
        <v>90</v>
      </c>
      <c r="G47" s="142">
        <v>90</v>
      </c>
      <c r="J47" s="137" t="s">
        <v>261</v>
      </c>
      <c r="K47" s="134" t="s">
        <v>262</v>
      </c>
      <c r="L47" s="134">
        <f>C47-'Adv fossil'!C85</f>
        <v>0</v>
      </c>
      <c r="M47" s="134">
        <f>D47-'Adv fossil'!D85</f>
        <v>0</v>
      </c>
      <c r="N47" s="134">
        <f>E47-'Adv fossil'!E85</f>
        <v>0</v>
      </c>
      <c r="O47" s="134">
        <f>F47-'Adv fossil'!F85</f>
        <v>0</v>
      </c>
      <c r="P47" s="134">
        <f>G47-'Adv fossil'!G85</f>
        <v>0</v>
      </c>
      <c r="R47" s="134"/>
    </row>
    <row r="48" spans="1:23" ht="15" thickBot="1">
      <c r="A48" s="138" t="s">
        <v>263</v>
      </c>
      <c r="B48" s="143" t="s">
        <v>262</v>
      </c>
      <c r="C48" s="144">
        <v>85</v>
      </c>
      <c r="D48" s="144">
        <v>85</v>
      </c>
      <c r="E48" s="144">
        <v>85</v>
      </c>
      <c r="F48" s="144">
        <v>85</v>
      </c>
      <c r="G48" s="144">
        <v>85</v>
      </c>
      <c r="J48" s="137" t="s">
        <v>263</v>
      </c>
      <c r="K48" s="134" t="s">
        <v>262</v>
      </c>
      <c r="L48" s="134">
        <f>C48-'Adv fossil'!C86</f>
        <v>0</v>
      </c>
      <c r="M48" s="134">
        <f>D48-'Adv fossil'!D86</f>
        <v>0</v>
      </c>
      <c r="N48" s="134">
        <f>E48-'Adv fossil'!E86</f>
        <v>0</v>
      </c>
      <c r="O48" s="134">
        <f>F48-'Adv fossil'!F86</f>
        <v>0</v>
      </c>
      <c r="P48" s="134">
        <f>G48-'Adv fossil'!G86</f>
        <v>0</v>
      </c>
      <c r="R48" s="134"/>
    </row>
    <row r="49" spans="1:23" ht="15" thickBot="1">
      <c r="A49" s="138" t="s">
        <v>264</v>
      </c>
      <c r="B49" s="141" t="s">
        <v>265</v>
      </c>
      <c r="C49" s="142">
        <v>40</v>
      </c>
      <c r="D49" s="142">
        <v>40</v>
      </c>
      <c r="E49" s="142">
        <v>40</v>
      </c>
      <c r="F49" s="142">
        <v>40</v>
      </c>
      <c r="G49" s="142">
        <v>40</v>
      </c>
      <c r="J49" s="137" t="s">
        <v>264</v>
      </c>
      <c r="K49" s="134" t="s">
        <v>265</v>
      </c>
      <c r="L49" s="134">
        <f>C49-'Adv fossil'!C87</f>
        <v>0</v>
      </c>
      <c r="M49" s="134">
        <f>D49-'Adv fossil'!D87</f>
        <v>0</v>
      </c>
      <c r="N49" s="134">
        <f>E49-'Adv fossil'!E87</f>
        <v>0</v>
      </c>
      <c r="O49" s="134">
        <f>F49-'Adv fossil'!F87</f>
        <v>0</v>
      </c>
      <c r="P49" s="134">
        <f>G49-'Adv fossil'!G87</f>
        <v>0</v>
      </c>
      <c r="R49" s="134"/>
    </row>
    <row r="50" spans="1:23" ht="15" thickBot="1">
      <c r="A50" s="138" t="s">
        <v>266</v>
      </c>
      <c r="B50" s="143" t="s">
        <v>262</v>
      </c>
      <c r="C50" s="144">
        <v>34</v>
      </c>
      <c r="D50" s="144">
        <v>35</v>
      </c>
      <c r="E50" s="144">
        <v>35</v>
      </c>
      <c r="F50" s="144">
        <v>38</v>
      </c>
      <c r="G50" s="144">
        <v>38</v>
      </c>
      <c r="J50" s="137" t="s">
        <v>266</v>
      </c>
      <c r="K50" s="134" t="s">
        <v>262</v>
      </c>
      <c r="L50" s="134">
        <f>C50-'Adv fossil'!C88</f>
        <v>-11</v>
      </c>
      <c r="M50" s="134">
        <f>D50-'Adv fossil'!D88</f>
        <v>-11</v>
      </c>
      <c r="N50" s="134">
        <f>E50-'Adv fossil'!E88</f>
        <v>-13</v>
      </c>
      <c r="O50" s="134">
        <f>F50-'Adv fossil'!F88</f>
        <v>-10</v>
      </c>
      <c r="P50" s="134">
        <f>G50-'Adv fossil'!G88</f>
        <v>-10</v>
      </c>
      <c r="R50" s="134" t="s">
        <v>328</v>
      </c>
      <c r="S50" s="134">
        <f>-L50+C50</f>
        <v>45</v>
      </c>
      <c r="T50" s="134">
        <f t="shared" ref="T50" si="4">-M50+D50</f>
        <v>46</v>
      </c>
      <c r="U50" s="134">
        <f t="shared" ref="U50" si="5">-N50+E50</f>
        <v>48</v>
      </c>
      <c r="V50" s="134">
        <f t="shared" ref="V50" si="6">-O50+F50</f>
        <v>48</v>
      </c>
      <c r="W50" s="134">
        <f t="shared" ref="W50" si="7">-P50+G50</f>
        <v>48</v>
      </c>
    </row>
    <row r="51" spans="1:23" ht="27" thickBot="1">
      <c r="A51" s="138" t="s">
        <v>267</v>
      </c>
      <c r="B51" s="141" t="s">
        <v>262</v>
      </c>
      <c r="C51" s="142">
        <v>11</v>
      </c>
      <c r="D51" s="142">
        <v>11</v>
      </c>
      <c r="E51" s="142">
        <v>10</v>
      </c>
      <c r="F51" s="142">
        <v>10</v>
      </c>
      <c r="G51" s="142">
        <v>10</v>
      </c>
      <c r="J51" s="137" t="s">
        <v>267</v>
      </c>
      <c r="K51" s="134" t="s">
        <v>262</v>
      </c>
      <c r="L51" s="134">
        <f>C51</f>
        <v>11</v>
      </c>
      <c r="M51" s="134">
        <f>D51</f>
        <v>11</v>
      </c>
      <c r="N51" s="134">
        <f>E51</f>
        <v>10</v>
      </c>
      <c r="O51" s="134">
        <f>F51</f>
        <v>10</v>
      </c>
      <c r="P51" s="134">
        <f>G51</f>
        <v>10</v>
      </c>
      <c r="R51" s="134" t="s">
        <v>329</v>
      </c>
      <c r="S51" s="134">
        <f>L51</f>
        <v>11</v>
      </c>
      <c r="T51" s="134">
        <f t="shared" ref="T51" si="8">M51</f>
        <v>11</v>
      </c>
      <c r="U51" s="134">
        <f t="shared" ref="U51" si="9">N51</f>
        <v>10</v>
      </c>
      <c r="V51" s="134">
        <f t="shared" ref="V51" si="10">O51</f>
        <v>10</v>
      </c>
      <c r="W51" s="134">
        <f t="shared" ref="W51" si="11">P51</f>
        <v>10</v>
      </c>
    </row>
    <row r="52" spans="1:23" ht="29.4" thickBot="1">
      <c r="A52" s="138" t="s">
        <v>268</v>
      </c>
      <c r="B52" s="143" t="s">
        <v>262</v>
      </c>
      <c r="C52" s="144">
        <v>87</v>
      </c>
      <c r="D52" s="144">
        <v>87</v>
      </c>
      <c r="E52" s="144">
        <v>87</v>
      </c>
      <c r="F52" s="144">
        <v>87</v>
      </c>
      <c r="G52" s="144">
        <v>87</v>
      </c>
      <c r="J52" s="137" t="s">
        <v>268</v>
      </c>
      <c r="K52" s="134" t="s">
        <v>262</v>
      </c>
      <c r="R52" s="134" t="s">
        <v>330</v>
      </c>
      <c r="S52" s="134">
        <f>S51/S50</f>
        <v>0.24444444444444444</v>
      </c>
      <c r="T52" s="134">
        <f t="shared" ref="T52" si="12">T51/T50</f>
        <v>0.2391304347826087</v>
      </c>
      <c r="U52" s="134">
        <f t="shared" ref="U52" si="13">U51/U50</f>
        <v>0.20833333333333334</v>
      </c>
      <c r="V52" s="134">
        <f t="shared" ref="V52" si="14">V51/V50</f>
        <v>0.20833333333333334</v>
      </c>
      <c r="W52" s="134">
        <f t="shared" ref="W52" si="15">W51/W50</f>
        <v>0.20833333333333334</v>
      </c>
    </row>
    <row r="53" spans="1:23" ht="15" thickBot="1">
      <c r="A53" s="381" t="s">
        <v>269</v>
      </c>
      <c r="B53" s="382"/>
      <c r="C53" s="382"/>
      <c r="D53" s="382"/>
      <c r="E53" s="382"/>
      <c r="F53" s="382"/>
      <c r="G53" s="383"/>
      <c r="J53" s="137" t="s">
        <v>269</v>
      </c>
      <c r="K53" s="137"/>
      <c r="L53" s="137"/>
      <c r="M53" s="137"/>
      <c r="N53" s="137"/>
      <c r="O53" s="137"/>
      <c r="P53" s="137"/>
      <c r="R53" s="134"/>
    </row>
    <row r="54" spans="1:23" ht="16.2" thickBot="1">
      <c r="A54" s="138" t="s">
        <v>270</v>
      </c>
      <c r="B54" s="139" t="s">
        <v>271</v>
      </c>
      <c r="C54" s="140">
        <v>3000</v>
      </c>
      <c r="D54" s="140">
        <v>2700</v>
      </c>
      <c r="E54" s="140">
        <v>2550</v>
      </c>
      <c r="F54" s="140">
        <v>2550</v>
      </c>
      <c r="G54" s="140">
        <v>2550</v>
      </c>
      <c r="J54" s="137" t="s">
        <v>270</v>
      </c>
      <c r="K54" s="134" t="s">
        <v>271</v>
      </c>
      <c r="L54" s="145">
        <f>C54-'Adv fossil'!C90</f>
        <v>1400</v>
      </c>
      <c r="M54" s="145">
        <f>D54-'Adv fossil'!D90</f>
        <v>1100</v>
      </c>
      <c r="N54" s="145">
        <f>E54-'Adv fossil'!E90</f>
        <v>950</v>
      </c>
      <c r="O54" s="145">
        <f>F54-'Adv fossil'!F90</f>
        <v>950</v>
      </c>
      <c r="P54" s="145">
        <f>G54-'Adv fossil'!G90</f>
        <v>950</v>
      </c>
      <c r="R54" s="134"/>
    </row>
    <row r="55" spans="1:23" ht="16.2" thickBot="1">
      <c r="A55" s="138" t="s">
        <v>272</v>
      </c>
      <c r="B55" s="141" t="s">
        <v>271</v>
      </c>
      <c r="C55" s="142">
        <v>2600</v>
      </c>
      <c r="D55" s="142">
        <v>2340</v>
      </c>
      <c r="E55" s="142">
        <v>2210</v>
      </c>
      <c r="F55" s="142">
        <v>2210</v>
      </c>
      <c r="G55" s="142">
        <v>2210</v>
      </c>
      <c r="J55" s="137" t="s">
        <v>272</v>
      </c>
      <c r="K55" s="134" t="s">
        <v>271</v>
      </c>
      <c r="L55" s="145">
        <f>C55-'Adv fossil'!C91</f>
        <v>1050</v>
      </c>
      <c r="M55" s="145">
        <f>D55-'Adv fossil'!D91</f>
        <v>790</v>
      </c>
      <c r="N55" s="145">
        <f>E55-'Adv fossil'!E91</f>
        <v>660</v>
      </c>
      <c r="O55" s="145">
        <f>F55-'Adv fossil'!F91</f>
        <v>660</v>
      </c>
      <c r="P55" s="145">
        <f>G55-'Adv fossil'!G91</f>
        <v>660</v>
      </c>
      <c r="R55" s="134"/>
    </row>
    <row r="56" spans="1:23" ht="16.2" thickBot="1">
      <c r="A56" s="138" t="s">
        <v>273</v>
      </c>
      <c r="B56" s="143" t="s">
        <v>271</v>
      </c>
      <c r="C56" s="144">
        <v>3350</v>
      </c>
      <c r="D56" s="144">
        <v>3020</v>
      </c>
      <c r="E56" s="144">
        <v>2850</v>
      </c>
      <c r="F56" s="144">
        <v>2850</v>
      </c>
      <c r="G56" s="144">
        <v>2850</v>
      </c>
      <c r="J56" s="137" t="s">
        <v>273</v>
      </c>
      <c r="K56" s="134" t="s">
        <v>271</v>
      </c>
      <c r="L56" s="145">
        <f>C56-'Adv fossil'!C92</f>
        <v>1650</v>
      </c>
      <c r="M56" s="145">
        <f>D56-'Adv fossil'!D92</f>
        <v>1320</v>
      </c>
      <c r="N56" s="145">
        <f>E56-'Adv fossil'!E92</f>
        <v>1150</v>
      </c>
      <c r="O56" s="145">
        <f>F56-'Adv fossil'!F92</f>
        <v>1150</v>
      </c>
      <c r="P56" s="145">
        <f>G56-'Adv fossil'!G92</f>
        <v>1150</v>
      </c>
      <c r="R56" s="134"/>
    </row>
    <row r="57" spans="1:23" ht="27" thickBot="1">
      <c r="A57" s="138" t="s">
        <v>274</v>
      </c>
      <c r="B57" s="141"/>
      <c r="C57" s="384" t="s">
        <v>275</v>
      </c>
      <c r="D57" s="385"/>
      <c r="E57" s="385"/>
      <c r="F57" s="385"/>
      <c r="G57" s="386"/>
      <c r="J57" s="137" t="s">
        <v>274</v>
      </c>
      <c r="L57" s="134" t="s">
        <v>275</v>
      </c>
      <c r="R57" s="134"/>
    </row>
    <row r="58" spans="1:23" ht="15" thickBot="1">
      <c r="A58" s="138" t="s">
        <v>276</v>
      </c>
      <c r="B58" s="143" t="s">
        <v>262</v>
      </c>
      <c r="C58" s="144">
        <v>2</v>
      </c>
      <c r="D58" s="144" t="s">
        <v>277</v>
      </c>
      <c r="E58" s="144" t="s">
        <v>277</v>
      </c>
      <c r="F58" s="144" t="s">
        <v>277</v>
      </c>
      <c r="G58" s="144" t="s">
        <v>277</v>
      </c>
      <c r="J58" s="137" t="s">
        <v>276</v>
      </c>
      <c r="K58" s="134" t="s">
        <v>262</v>
      </c>
      <c r="L58" s="134" t="s">
        <v>277</v>
      </c>
      <c r="M58" s="134" t="s">
        <v>277</v>
      </c>
      <c r="N58" s="134" t="s">
        <v>277</v>
      </c>
      <c r="O58" s="134" t="s">
        <v>277</v>
      </c>
      <c r="P58" s="134" t="s">
        <v>277</v>
      </c>
      <c r="R58" s="134"/>
    </row>
    <row r="59" spans="1:23" ht="27" thickBot="1">
      <c r="A59" s="138" t="s">
        <v>278</v>
      </c>
      <c r="B59" s="141" t="s">
        <v>279</v>
      </c>
      <c r="C59" s="142">
        <v>2.5</v>
      </c>
      <c r="D59" s="142">
        <v>2.5</v>
      </c>
      <c r="E59" s="142">
        <v>2.5</v>
      </c>
      <c r="F59" s="142">
        <v>2.5</v>
      </c>
      <c r="G59" s="142">
        <v>2.5</v>
      </c>
      <c r="J59" s="137" t="s">
        <v>278</v>
      </c>
      <c r="K59" s="146" t="s">
        <v>279</v>
      </c>
      <c r="L59" s="147">
        <f>C59</f>
        <v>2.5</v>
      </c>
      <c r="M59" s="147">
        <f t="shared" ref="M59" si="16">D59</f>
        <v>2.5</v>
      </c>
      <c r="N59" s="147">
        <f t="shared" ref="N59" si="17">E59</f>
        <v>2.5</v>
      </c>
      <c r="O59" s="147">
        <f t="shared" ref="O59" si="18">F59</f>
        <v>2.5</v>
      </c>
      <c r="P59" s="147">
        <f t="shared" ref="P59" si="19">G59</f>
        <v>2.5</v>
      </c>
      <c r="R59" s="134"/>
    </row>
    <row r="60" spans="1:23" ht="16.2" thickBot="1">
      <c r="A60" s="138" t="s">
        <v>280</v>
      </c>
      <c r="B60" s="143" t="s">
        <v>281</v>
      </c>
      <c r="C60" s="144">
        <v>5.5</v>
      </c>
      <c r="D60" s="144">
        <v>5.5</v>
      </c>
      <c r="E60" s="144">
        <v>5.5</v>
      </c>
      <c r="F60" s="144">
        <v>5.5</v>
      </c>
      <c r="G60" s="144">
        <v>5.5</v>
      </c>
      <c r="J60" s="137" t="s">
        <v>280</v>
      </c>
      <c r="K60" s="134" t="s">
        <v>281</v>
      </c>
      <c r="L60" s="145">
        <f>C60-'Adv fossil'!C97</f>
        <v>1.9</v>
      </c>
      <c r="M60" s="145">
        <f>D60-'Adv fossil'!D97</f>
        <v>1.9</v>
      </c>
      <c r="N60" s="145">
        <f>E60-'Adv fossil'!E97</f>
        <v>1.9</v>
      </c>
      <c r="O60" s="145">
        <f>F60-'Adv fossil'!F97</f>
        <v>1.9</v>
      </c>
      <c r="P60" s="145">
        <f>G60-'Adv fossil'!G97</f>
        <v>1.9</v>
      </c>
      <c r="R60" s="134"/>
    </row>
    <row r="61" spans="1:23" ht="16.2" thickBot="1">
      <c r="A61" s="138" t="s">
        <v>282</v>
      </c>
      <c r="B61" s="141" t="s">
        <v>281</v>
      </c>
      <c r="C61" s="142">
        <v>7</v>
      </c>
      <c r="D61" s="142" t="s">
        <v>277</v>
      </c>
      <c r="E61" s="142" t="s">
        <v>277</v>
      </c>
      <c r="F61" s="142" t="s">
        <v>277</v>
      </c>
      <c r="G61" s="142" t="s">
        <v>277</v>
      </c>
      <c r="J61" s="137" t="s">
        <v>282</v>
      </c>
      <c r="K61" s="134" t="s">
        <v>281</v>
      </c>
      <c r="R61" s="134"/>
    </row>
    <row r="62" spans="1:23" ht="15" thickBot="1">
      <c r="A62" s="138" t="s">
        <v>283</v>
      </c>
      <c r="B62" s="143">
        <v>1</v>
      </c>
      <c r="C62" s="144">
        <v>270</v>
      </c>
      <c r="D62" s="144">
        <v>270</v>
      </c>
      <c r="E62" s="144">
        <v>270</v>
      </c>
      <c r="F62" s="144">
        <v>270</v>
      </c>
      <c r="G62" s="144">
        <v>270</v>
      </c>
      <c r="J62" s="137" t="s">
        <v>283</v>
      </c>
      <c r="R62" s="134"/>
    </row>
    <row r="63" spans="1:23" ht="15" thickBot="1">
      <c r="A63" s="381" t="s">
        <v>284</v>
      </c>
      <c r="B63" s="382"/>
      <c r="C63" s="382"/>
      <c r="D63" s="382"/>
      <c r="E63" s="382"/>
      <c r="F63" s="382"/>
      <c r="G63" s="383"/>
      <c r="J63" s="137" t="s">
        <v>284</v>
      </c>
      <c r="K63" s="137"/>
      <c r="L63" s="137"/>
      <c r="M63" s="137"/>
      <c r="N63" s="137"/>
      <c r="O63" s="137"/>
      <c r="P63" s="137"/>
      <c r="R63" s="134"/>
    </row>
    <row r="64" spans="1:23" ht="29.4" thickBot="1">
      <c r="A64" s="138" t="s">
        <v>285</v>
      </c>
      <c r="B64" s="139" t="s">
        <v>286</v>
      </c>
      <c r="C64" s="140">
        <v>110</v>
      </c>
      <c r="D64" s="140">
        <v>105</v>
      </c>
      <c r="E64" s="140">
        <v>105</v>
      </c>
      <c r="F64" s="140">
        <v>95</v>
      </c>
      <c r="G64" s="140">
        <v>95</v>
      </c>
      <c r="J64" s="137" t="s">
        <v>285</v>
      </c>
      <c r="K64" s="134" t="s">
        <v>286</v>
      </c>
      <c r="R64" s="134"/>
    </row>
    <row r="65" spans="1:18" ht="29.4" thickBot="1">
      <c r="A65" s="138" t="s">
        <v>287</v>
      </c>
      <c r="B65" s="141" t="s">
        <v>286</v>
      </c>
      <c r="C65" s="142">
        <v>125</v>
      </c>
      <c r="D65" s="142">
        <v>120</v>
      </c>
      <c r="E65" s="142">
        <v>120</v>
      </c>
      <c r="F65" s="142">
        <v>115</v>
      </c>
      <c r="G65" s="142">
        <v>115</v>
      </c>
      <c r="J65" s="137" t="s">
        <v>287</v>
      </c>
      <c r="K65" s="134" t="s">
        <v>286</v>
      </c>
      <c r="R65" s="134"/>
    </row>
    <row r="66" spans="1:18" ht="15" thickBot="1">
      <c r="A66" s="138" t="s">
        <v>288</v>
      </c>
      <c r="B66" s="143" t="s">
        <v>289</v>
      </c>
      <c r="C66" s="144">
        <v>3210</v>
      </c>
      <c r="D66" s="144">
        <v>3210</v>
      </c>
      <c r="E66" s="144">
        <v>3120</v>
      </c>
      <c r="F66" s="144">
        <v>2875</v>
      </c>
      <c r="G66" s="144">
        <v>2875</v>
      </c>
      <c r="J66" s="137" t="s">
        <v>288</v>
      </c>
      <c r="K66" s="134" t="s">
        <v>289</v>
      </c>
      <c r="R66" s="134"/>
    </row>
    <row r="67" spans="1:18" ht="15" thickBot="1">
      <c r="A67" s="138" t="s">
        <v>290</v>
      </c>
      <c r="B67" s="141" t="s">
        <v>289</v>
      </c>
      <c r="C67" s="142">
        <v>4170</v>
      </c>
      <c r="D67" s="142">
        <v>4050</v>
      </c>
      <c r="E67" s="142">
        <v>4050</v>
      </c>
      <c r="F67" s="142">
        <v>3750</v>
      </c>
      <c r="G67" s="142">
        <v>3750</v>
      </c>
      <c r="J67" s="137" t="s">
        <v>290</v>
      </c>
      <c r="K67" s="134" t="s">
        <v>289</v>
      </c>
      <c r="R67" s="134"/>
    </row>
    <row r="68" spans="1:18" ht="15" thickBot="1">
      <c r="A68" s="381" t="s">
        <v>291</v>
      </c>
      <c r="B68" s="382"/>
      <c r="C68" s="382"/>
      <c r="D68" s="382"/>
      <c r="E68" s="382"/>
      <c r="F68" s="382"/>
      <c r="G68" s="383"/>
      <c r="J68" s="137" t="s">
        <v>291</v>
      </c>
      <c r="K68" s="137"/>
      <c r="L68" s="137"/>
      <c r="M68" s="137"/>
      <c r="N68" s="137"/>
      <c r="O68" s="137"/>
      <c r="P68" s="137"/>
      <c r="R68" s="134"/>
    </row>
    <row r="69" spans="1:18" ht="15" thickBot="1">
      <c r="A69" s="148" t="s">
        <v>295</v>
      </c>
      <c r="B69" s="149" t="s">
        <v>293</v>
      </c>
      <c r="C69" s="150" t="s">
        <v>277</v>
      </c>
      <c r="D69" s="150" t="s">
        <v>277</v>
      </c>
      <c r="E69" s="150" t="s">
        <v>277</v>
      </c>
      <c r="F69" s="150" t="s">
        <v>277</v>
      </c>
      <c r="G69" s="150" t="s">
        <v>277</v>
      </c>
      <c r="J69" s="137" t="s">
        <v>292</v>
      </c>
      <c r="K69" s="134" t="s">
        <v>293</v>
      </c>
      <c r="L69" s="134" t="s">
        <v>277</v>
      </c>
      <c r="M69" s="134" t="s">
        <v>277</v>
      </c>
      <c r="N69" s="134" t="s">
        <v>277</v>
      </c>
      <c r="O69" s="134" t="s">
        <v>277</v>
      </c>
      <c r="P69" s="134" t="s">
        <v>277</v>
      </c>
      <c r="R69" s="134"/>
    </row>
    <row r="70" spans="1:18" hidden="1">
      <c r="R70" s="134"/>
    </row>
    <row r="71" spans="1:18" hidden="1">
      <c r="A71" s="12" t="s">
        <v>296</v>
      </c>
      <c r="J71" s="134" t="str">
        <f>"Comparison between ADV fossil and "&amp;A71</f>
        <v>Comparison between ADV fossil and Fluidised bed lignite CCS post combustion</v>
      </c>
      <c r="R71" s="134"/>
    </row>
    <row r="72" spans="1:18" ht="15" hidden="1" thickBot="1">
      <c r="A72" s="135"/>
      <c r="B72" s="136" t="s">
        <v>46</v>
      </c>
      <c r="C72" s="136">
        <v>2013</v>
      </c>
      <c r="D72" s="136">
        <v>2020</v>
      </c>
      <c r="E72" s="136">
        <v>2030</v>
      </c>
      <c r="F72" s="136">
        <v>2040</v>
      </c>
      <c r="G72" s="136">
        <v>2050</v>
      </c>
      <c r="J72" s="137"/>
      <c r="K72" s="137" t="s">
        <v>46</v>
      </c>
      <c r="L72" s="137">
        <v>2013</v>
      </c>
      <c r="M72" s="137">
        <v>2020</v>
      </c>
      <c r="N72" s="137">
        <v>2030</v>
      </c>
      <c r="O72" s="137">
        <v>2040</v>
      </c>
      <c r="P72" s="137">
        <v>2050</v>
      </c>
      <c r="R72" s="134"/>
    </row>
    <row r="73" spans="1:18" ht="15.6" hidden="1" thickTop="1" thickBot="1">
      <c r="A73" s="378" t="s">
        <v>257</v>
      </c>
      <c r="B73" s="379"/>
      <c r="C73" s="379"/>
      <c r="D73" s="379"/>
      <c r="E73" s="379"/>
      <c r="F73" s="379"/>
      <c r="G73" s="380"/>
      <c r="J73" s="137" t="s">
        <v>257</v>
      </c>
      <c r="R73" s="134"/>
    </row>
    <row r="74" spans="1:18" ht="15" hidden="1" thickBot="1">
      <c r="A74" s="138" t="s">
        <v>258</v>
      </c>
      <c r="B74" s="139" t="s">
        <v>189</v>
      </c>
      <c r="C74" s="140">
        <v>480</v>
      </c>
      <c r="D74" s="140">
        <v>480</v>
      </c>
      <c r="E74" s="140">
        <v>480</v>
      </c>
      <c r="F74" s="140">
        <v>480</v>
      </c>
      <c r="G74" s="140">
        <v>480</v>
      </c>
      <c r="J74" s="137" t="s">
        <v>258</v>
      </c>
      <c r="K74" s="134" t="s">
        <v>189</v>
      </c>
      <c r="R74" s="134"/>
    </row>
    <row r="75" spans="1:18" ht="15" hidden="1" thickBot="1">
      <c r="A75" s="138" t="s">
        <v>259</v>
      </c>
      <c r="B75" s="141" t="s">
        <v>189</v>
      </c>
      <c r="C75" s="142">
        <v>580</v>
      </c>
      <c r="D75" s="142">
        <v>580</v>
      </c>
      <c r="E75" s="142">
        <v>580</v>
      </c>
      <c r="F75" s="142">
        <v>580</v>
      </c>
      <c r="G75" s="142">
        <v>580</v>
      </c>
      <c r="J75" s="137" t="s">
        <v>259</v>
      </c>
      <c r="K75" s="134" t="s">
        <v>189</v>
      </c>
      <c r="R75" s="134"/>
    </row>
    <row r="76" spans="1:18" ht="15" hidden="1" thickBot="1">
      <c r="A76" s="138" t="s">
        <v>260</v>
      </c>
      <c r="B76" s="143" t="s">
        <v>189</v>
      </c>
      <c r="C76" s="144">
        <v>1550</v>
      </c>
      <c r="D76" s="144">
        <v>1500</v>
      </c>
      <c r="E76" s="144">
        <v>1410</v>
      </c>
      <c r="F76" s="144">
        <v>1410</v>
      </c>
      <c r="G76" s="144">
        <v>1410</v>
      </c>
      <c r="J76" s="137" t="s">
        <v>260</v>
      </c>
      <c r="K76" s="134" t="s">
        <v>189</v>
      </c>
      <c r="R76" s="134"/>
    </row>
    <row r="77" spans="1:18" ht="15" hidden="1" thickBot="1">
      <c r="A77" s="138" t="s">
        <v>261</v>
      </c>
      <c r="B77" s="141" t="s">
        <v>262</v>
      </c>
      <c r="C77" s="142">
        <v>85</v>
      </c>
      <c r="D77" s="142">
        <v>85</v>
      </c>
      <c r="E77" s="142">
        <v>85</v>
      </c>
      <c r="F77" s="142">
        <v>85</v>
      </c>
      <c r="G77" s="142">
        <v>85</v>
      </c>
      <c r="J77" s="137" t="s">
        <v>261</v>
      </c>
      <c r="K77" s="134" t="s">
        <v>262</v>
      </c>
      <c r="L77" s="134">
        <f>C77-'Adv fossil'!C141</f>
        <v>0</v>
      </c>
      <c r="M77" s="134">
        <f>D77-'Adv fossil'!D141</f>
        <v>0</v>
      </c>
      <c r="N77" s="134">
        <f>E77-'Adv fossil'!E141</f>
        <v>0</v>
      </c>
      <c r="O77" s="134">
        <f>F77-'Adv fossil'!F141</f>
        <v>0</v>
      </c>
      <c r="P77" s="134">
        <f>G77-'Adv fossil'!G141</f>
        <v>0</v>
      </c>
      <c r="R77" s="134"/>
    </row>
    <row r="78" spans="1:18" ht="15" hidden="1" thickBot="1">
      <c r="A78" s="138" t="s">
        <v>263</v>
      </c>
      <c r="B78" s="143" t="s">
        <v>262</v>
      </c>
      <c r="C78" s="144">
        <v>85</v>
      </c>
      <c r="D78" s="144">
        <v>85</v>
      </c>
      <c r="E78" s="144">
        <v>85</v>
      </c>
      <c r="F78" s="144">
        <v>85</v>
      </c>
      <c r="G78" s="144">
        <v>85</v>
      </c>
      <c r="J78" s="137" t="s">
        <v>263</v>
      </c>
      <c r="K78" s="134" t="s">
        <v>262</v>
      </c>
      <c r="L78" s="134">
        <f>C78-'Adv fossil'!C142</f>
        <v>0</v>
      </c>
      <c r="M78" s="134">
        <f>D78-'Adv fossil'!D142</f>
        <v>0</v>
      </c>
      <c r="N78" s="134">
        <f>E78-'Adv fossil'!E142</f>
        <v>0</v>
      </c>
      <c r="O78" s="134">
        <f>F78-'Adv fossil'!F142</f>
        <v>0</v>
      </c>
      <c r="P78" s="134">
        <f>G78-'Adv fossil'!G142</f>
        <v>0</v>
      </c>
      <c r="R78" s="134"/>
    </row>
    <row r="79" spans="1:18" ht="15" hidden="1" thickBot="1">
      <c r="A79" s="138" t="s">
        <v>264</v>
      </c>
      <c r="B79" s="141" t="s">
        <v>265</v>
      </c>
      <c r="C79" s="142">
        <v>40</v>
      </c>
      <c r="D79" s="142">
        <v>40</v>
      </c>
      <c r="E79" s="142">
        <v>40</v>
      </c>
      <c r="F79" s="142">
        <v>40</v>
      </c>
      <c r="G79" s="142">
        <v>40</v>
      </c>
      <c r="J79" s="137" t="s">
        <v>264</v>
      </c>
      <c r="K79" s="134" t="s">
        <v>265</v>
      </c>
      <c r="L79" s="134">
        <f>C79-'Adv fossil'!C143</f>
        <v>0</v>
      </c>
      <c r="M79" s="134">
        <f>D79-'Adv fossil'!D143</f>
        <v>0</v>
      </c>
      <c r="N79" s="134">
        <f>E79-'Adv fossil'!E143</f>
        <v>0</v>
      </c>
      <c r="O79" s="134">
        <f>F79-'Adv fossil'!F143</f>
        <v>0</v>
      </c>
      <c r="P79" s="134">
        <f>G79-'Adv fossil'!G143</f>
        <v>0</v>
      </c>
      <c r="R79" s="134"/>
    </row>
    <row r="80" spans="1:18" ht="15" hidden="1" thickBot="1">
      <c r="A80" s="138" t="s">
        <v>266</v>
      </c>
      <c r="B80" s="143" t="s">
        <v>262</v>
      </c>
      <c r="C80" s="144">
        <v>31</v>
      </c>
      <c r="D80" s="144">
        <v>32</v>
      </c>
      <c r="E80" s="144">
        <v>34</v>
      </c>
      <c r="F80" s="144">
        <v>34</v>
      </c>
      <c r="G80" s="144">
        <v>34</v>
      </c>
      <c r="J80" s="137" t="s">
        <v>266</v>
      </c>
      <c r="K80" s="134" t="s">
        <v>262</v>
      </c>
      <c r="L80" s="134">
        <f>C80-'Adv fossil'!C144</f>
        <v>-11</v>
      </c>
      <c r="M80" s="134">
        <f>D80-'Adv fossil'!D144</f>
        <v>-11</v>
      </c>
      <c r="N80" s="134">
        <f>E80-'Adv fossil'!E144</f>
        <v>-11</v>
      </c>
      <c r="O80" s="134">
        <f>F80-'Adv fossil'!F144</f>
        <v>-11</v>
      </c>
      <c r="P80" s="134">
        <f>G80-'Adv fossil'!G144</f>
        <v>-11</v>
      </c>
      <c r="R80" s="134"/>
    </row>
    <row r="81" spans="1:18" ht="27" hidden="1" thickBot="1">
      <c r="A81" s="138" t="s">
        <v>267</v>
      </c>
      <c r="B81" s="141" t="s">
        <v>262</v>
      </c>
      <c r="C81" s="142">
        <v>10</v>
      </c>
      <c r="D81" s="142">
        <v>11</v>
      </c>
      <c r="E81" s="142">
        <v>11</v>
      </c>
      <c r="F81" s="142">
        <v>11</v>
      </c>
      <c r="G81" s="142">
        <v>11</v>
      </c>
      <c r="J81" s="137" t="s">
        <v>267</v>
      </c>
      <c r="K81" s="134" t="s">
        <v>262</v>
      </c>
      <c r="L81" s="134">
        <f>C81</f>
        <v>10</v>
      </c>
      <c r="M81" s="134">
        <f>D81</f>
        <v>11</v>
      </c>
      <c r="N81" s="134">
        <f>E81</f>
        <v>11</v>
      </c>
      <c r="O81" s="134">
        <f>F81</f>
        <v>11</v>
      </c>
      <c r="P81" s="134">
        <f>G81</f>
        <v>11</v>
      </c>
      <c r="R81" s="134"/>
    </row>
    <row r="82" spans="1:18" ht="29.4" hidden="1" thickBot="1">
      <c r="A82" s="138" t="s">
        <v>268</v>
      </c>
      <c r="B82" s="143" t="s">
        <v>262</v>
      </c>
      <c r="C82" s="144">
        <v>87</v>
      </c>
      <c r="D82" s="144">
        <v>87</v>
      </c>
      <c r="E82" s="144">
        <v>87</v>
      </c>
      <c r="F82" s="144">
        <v>87</v>
      </c>
      <c r="G82" s="144">
        <v>87</v>
      </c>
      <c r="J82" s="137" t="s">
        <v>268</v>
      </c>
      <c r="K82" s="134" t="s">
        <v>262</v>
      </c>
      <c r="R82" s="134"/>
    </row>
    <row r="83" spans="1:18" ht="15" hidden="1" thickBot="1">
      <c r="A83" s="381" t="s">
        <v>269</v>
      </c>
      <c r="B83" s="382"/>
      <c r="C83" s="382"/>
      <c r="D83" s="382"/>
      <c r="E83" s="382"/>
      <c r="F83" s="382"/>
      <c r="G83" s="383"/>
      <c r="J83" s="137" t="s">
        <v>269</v>
      </c>
      <c r="K83" s="137"/>
      <c r="L83" s="137"/>
      <c r="M83" s="137"/>
      <c r="N83" s="137"/>
      <c r="O83" s="137"/>
      <c r="P83" s="137"/>
      <c r="R83" s="134"/>
    </row>
    <row r="84" spans="1:18" ht="16.2" hidden="1" thickBot="1">
      <c r="A84" s="138" t="s">
        <v>270</v>
      </c>
      <c r="B84" s="139" t="s">
        <v>271</v>
      </c>
      <c r="C84" s="140">
        <v>3500</v>
      </c>
      <c r="D84" s="140">
        <v>3500</v>
      </c>
      <c r="E84" s="140">
        <v>3500</v>
      </c>
      <c r="F84" s="140">
        <v>3500</v>
      </c>
      <c r="G84" s="140">
        <v>3500</v>
      </c>
      <c r="J84" s="137" t="s">
        <v>270</v>
      </c>
      <c r="K84" s="134" t="s">
        <v>271</v>
      </c>
      <c r="L84" s="145">
        <f>C84-'Adv fossil'!C146</f>
        <v>1600</v>
      </c>
      <c r="M84" s="145">
        <f>D84-'Adv fossil'!D146</f>
        <v>1600</v>
      </c>
      <c r="N84" s="145">
        <f>E84-'Adv fossil'!E146</f>
        <v>1600</v>
      </c>
      <c r="O84" s="145">
        <f>F84-'Adv fossil'!F146</f>
        <v>1600</v>
      </c>
      <c r="P84" s="145">
        <f>G84-'Adv fossil'!G146</f>
        <v>1600</v>
      </c>
      <c r="R84" s="134"/>
    </row>
    <row r="85" spans="1:18" ht="16.2" hidden="1" thickBot="1">
      <c r="A85" s="138" t="s">
        <v>272</v>
      </c>
      <c r="B85" s="141" t="s">
        <v>271</v>
      </c>
      <c r="C85" s="142">
        <v>2975</v>
      </c>
      <c r="D85" s="142">
        <v>2975</v>
      </c>
      <c r="E85" s="142">
        <v>2975</v>
      </c>
      <c r="F85" s="142">
        <v>2975</v>
      </c>
      <c r="G85" s="142">
        <v>2975</v>
      </c>
      <c r="J85" s="137" t="s">
        <v>272</v>
      </c>
      <c r="K85" s="134" t="s">
        <v>271</v>
      </c>
      <c r="L85" s="145">
        <f>C85-'Adv fossil'!C147</f>
        <v>1360</v>
      </c>
      <c r="M85" s="145">
        <f>D85-'Adv fossil'!D147</f>
        <v>1360</v>
      </c>
      <c r="N85" s="145">
        <f>E85-'Adv fossil'!E147</f>
        <v>1360</v>
      </c>
      <c r="O85" s="145">
        <f>F85-'Adv fossil'!F147</f>
        <v>1360</v>
      </c>
      <c r="P85" s="145">
        <f>G85-'Adv fossil'!G147</f>
        <v>1360</v>
      </c>
      <c r="R85" s="134"/>
    </row>
    <row r="86" spans="1:18" ht="16.2" hidden="1" thickBot="1">
      <c r="A86" s="138" t="s">
        <v>273</v>
      </c>
      <c r="B86" s="143" t="s">
        <v>271</v>
      </c>
      <c r="C86" s="144">
        <v>4200</v>
      </c>
      <c r="D86" s="144">
        <v>4200</v>
      </c>
      <c r="E86" s="144">
        <v>4200</v>
      </c>
      <c r="F86" s="144">
        <v>4200</v>
      </c>
      <c r="G86" s="144">
        <v>4200</v>
      </c>
      <c r="J86" s="137" t="s">
        <v>273</v>
      </c>
      <c r="K86" s="134" t="s">
        <v>271</v>
      </c>
      <c r="L86" s="145">
        <f>C86-'Adv fossil'!C148</f>
        <v>1920</v>
      </c>
      <c r="M86" s="145">
        <f>D86-'Adv fossil'!D148</f>
        <v>1920</v>
      </c>
      <c r="N86" s="145">
        <f>E86-'Adv fossil'!E148</f>
        <v>1920</v>
      </c>
      <c r="O86" s="145">
        <f>F86-'Adv fossil'!F148</f>
        <v>1920</v>
      </c>
      <c r="P86" s="145">
        <f>G86-'Adv fossil'!G148</f>
        <v>1920</v>
      </c>
      <c r="R86" s="134"/>
    </row>
    <row r="87" spans="1:18" ht="27" hidden="1" thickBot="1">
      <c r="A87" s="138" t="s">
        <v>274</v>
      </c>
      <c r="B87" s="141"/>
      <c r="C87" s="384" t="s">
        <v>275</v>
      </c>
      <c r="D87" s="385"/>
      <c r="E87" s="385"/>
      <c r="F87" s="385"/>
      <c r="G87" s="386"/>
      <c r="J87" s="137" t="s">
        <v>274</v>
      </c>
      <c r="L87" s="134" t="s">
        <v>275</v>
      </c>
      <c r="R87" s="134"/>
    </row>
    <row r="88" spans="1:18" ht="15" hidden="1" thickBot="1">
      <c r="A88" s="138" t="s">
        <v>276</v>
      </c>
      <c r="B88" s="143" t="s">
        <v>262</v>
      </c>
      <c r="C88" s="144" t="s">
        <v>277</v>
      </c>
      <c r="D88" s="144"/>
      <c r="E88" s="144"/>
      <c r="F88" s="144"/>
      <c r="G88" s="144"/>
      <c r="J88" s="137" t="s">
        <v>276</v>
      </c>
      <c r="K88" s="134" t="s">
        <v>262</v>
      </c>
      <c r="L88" s="134" t="s">
        <v>277</v>
      </c>
      <c r="M88" s="134" t="s">
        <v>277</v>
      </c>
      <c r="N88" s="134" t="s">
        <v>277</v>
      </c>
      <c r="O88" s="134" t="s">
        <v>277</v>
      </c>
      <c r="P88" s="134" t="s">
        <v>277</v>
      </c>
      <c r="R88" s="134"/>
    </row>
    <row r="89" spans="1:18" ht="27" hidden="1" thickBot="1">
      <c r="A89" s="138" t="s">
        <v>278</v>
      </c>
      <c r="B89" s="141" t="s">
        <v>279</v>
      </c>
      <c r="C89" s="142">
        <v>2.5</v>
      </c>
      <c r="D89" s="142">
        <v>2.5</v>
      </c>
      <c r="E89" s="142">
        <v>2.5</v>
      </c>
      <c r="F89" s="142">
        <v>2.5</v>
      </c>
      <c r="G89" s="142">
        <v>2.5</v>
      </c>
      <c r="J89" s="137" t="s">
        <v>278</v>
      </c>
      <c r="K89" s="146" t="s">
        <v>279</v>
      </c>
      <c r="L89" s="147">
        <f>C89-'Adv fossil'!C151</f>
        <v>0.5</v>
      </c>
      <c r="M89" s="147">
        <f>D89-'Adv fossil'!D151</f>
        <v>0.5</v>
      </c>
      <c r="N89" s="147">
        <f>E89-'Adv fossil'!E151</f>
        <v>0.5</v>
      </c>
      <c r="O89" s="147">
        <f>F89-'Adv fossil'!F151</f>
        <v>0.5</v>
      </c>
      <c r="P89" s="147">
        <f>G89-'Adv fossil'!G151</f>
        <v>0.5</v>
      </c>
      <c r="R89" s="134"/>
    </row>
    <row r="90" spans="1:18" ht="16.2" hidden="1" thickBot="1">
      <c r="A90" s="138" t="s">
        <v>280</v>
      </c>
      <c r="B90" s="143" t="s">
        <v>281</v>
      </c>
      <c r="C90" s="144">
        <v>10</v>
      </c>
      <c r="D90" s="144">
        <v>10</v>
      </c>
      <c r="E90" s="144">
        <v>10</v>
      </c>
      <c r="F90" s="144">
        <v>10</v>
      </c>
      <c r="G90" s="144">
        <v>10</v>
      </c>
      <c r="J90" s="137" t="s">
        <v>280</v>
      </c>
      <c r="K90" s="134" t="s">
        <v>281</v>
      </c>
      <c r="L90" s="145">
        <f>C90-'Adv fossil'!C152</f>
        <v>4</v>
      </c>
      <c r="M90" s="145">
        <f>D90-'Adv fossil'!D152</f>
        <v>4</v>
      </c>
      <c r="N90" s="145">
        <f>E90-'Adv fossil'!E152</f>
        <v>4</v>
      </c>
      <c r="O90" s="145">
        <f>F90-'Adv fossil'!F152</f>
        <v>4</v>
      </c>
      <c r="P90" s="145">
        <f>G90-'Adv fossil'!G152</f>
        <v>4</v>
      </c>
      <c r="R90" s="134"/>
    </row>
    <row r="91" spans="1:18" ht="16.2" hidden="1" thickBot="1">
      <c r="A91" s="138" t="s">
        <v>282</v>
      </c>
      <c r="B91" s="141" t="s">
        <v>281</v>
      </c>
      <c r="C91" s="142">
        <v>8.5</v>
      </c>
      <c r="D91" s="142" t="s">
        <v>277</v>
      </c>
      <c r="E91" s="142" t="s">
        <v>277</v>
      </c>
      <c r="F91" s="142" t="s">
        <v>277</v>
      </c>
      <c r="G91" s="142" t="s">
        <v>277</v>
      </c>
      <c r="J91" s="137" t="s">
        <v>282</v>
      </c>
      <c r="K91" s="134" t="s">
        <v>281</v>
      </c>
      <c r="R91" s="134"/>
    </row>
    <row r="92" spans="1:18" ht="15" hidden="1" thickBot="1">
      <c r="A92" s="138" t="s">
        <v>283</v>
      </c>
      <c r="B92" s="143">
        <v>1</v>
      </c>
      <c r="C92" s="144">
        <v>200</v>
      </c>
      <c r="D92" s="144">
        <v>200</v>
      </c>
      <c r="E92" s="144">
        <v>200</v>
      </c>
      <c r="F92" s="144">
        <v>200</v>
      </c>
      <c r="G92" s="144">
        <v>200</v>
      </c>
      <c r="J92" s="137" t="s">
        <v>283</v>
      </c>
      <c r="R92" s="134"/>
    </row>
    <row r="93" spans="1:18" ht="15" hidden="1" thickBot="1">
      <c r="A93" s="381" t="s">
        <v>284</v>
      </c>
      <c r="B93" s="382"/>
      <c r="C93" s="382"/>
      <c r="D93" s="382"/>
      <c r="E93" s="382"/>
      <c r="F93" s="382"/>
      <c r="G93" s="383"/>
      <c r="J93" s="137" t="s">
        <v>284</v>
      </c>
      <c r="K93" s="137"/>
      <c r="L93" s="137"/>
      <c r="M93" s="137"/>
      <c r="N93" s="137"/>
      <c r="O93" s="137"/>
      <c r="P93" s="137"/>
      <c r="R93" s="134"/>
    </row>
    <row r="94" spans="1:18" ht="29.4" hidden="1" thickBot="1">
      <c r="A94" s="138" t="s">
        <v>285</v>
      </c>
      <c r="B94" s="139" t="s">
        <v>286</v>
      </c>
      <c r="C94" s="140">
        <v>140</v>
      </c>
      <c r="D94" s="140">
        <v>135</v>
      </c>
      <c r="E94" s="140">
        <v>130</v>
      </c>
      <c r="F94" s="140">
        <v>130</v>
      </c>
      <c r="G94" s="140">
        <v>130</v>
      </c>
      <c r="J94" s="137" t="s">
        <v>285</v>
      </c>
      <c r="K94" s="134" t="s">
        <v>286</v>
      </c>
      <c r="R94" s="134"/>
    </row>
    <row r="95" spans="1:18" ht="29.4" hidden="1" thickBot="1">
      <c r="A95" s="138" t="s">
        <v>287</v>
      </c>
      <c r="B95" s="141" t="s">
        <v>286</v>
      </c>
      <c r="C95" s="142">
        <v>165</v>
      </c>
      <c r="D95" s="142">
        <v>160</v>
      </c>
      <c r="E95" s="142">
        <v>150</v>
      </c>
      <c r="F95" s="142">
        <v>150</v>
      </c>
      <c r="G95" s="142">
        <v>150</v>
      </c>
      <c r="J95" s="137" t="s">
        <v>287</v>
      </c>
      <c r="K95" s="134" t="s">
        <v>286</v>
      </c>
      <c r="R95" s="134"/>
    </row>
    <row r="96" spans="1:18" ht="15" hidden="1" thickBot="1">
      <c r="A96" s="138" t="s">
        <v>288</v>
      </c>
      <c r="B96" s="143" t="s">
        <v>289</v>
      </c>
      <c r="C96" s="144">
        <v>2370</v>
      </c>
      <c r="D96" s="144">
        <v>2300</v>
      </c>
      <c r="E96" s="144">
        <v>2165</v>
      </c>
      <c r="F96" s="144">
        <v>2165</v>
      </c>
      <c r="G96" s="144">
        <v>2165</v>
      </c>
      <c r="J96" s="137" t="s">
        <v>288</v>
      </c>
      <c r="K96" s="134" t="s">
        <v>289</v>
      </c>
      <c r="R96" s="134"/>
    </row>
    <row r="97" spans="1:23" ht="15" hidden="1" thickBot="1">
      <c r="A97" s="138" t="s">
        <v>290</v>
      </c>
      <c r="B97" s="141" t="s">
        <v>289</v>
      </c>
      <c r="C97" s="142">
        <v>3300</v>
      </c>
      <c r="D97" s="142">
        <v>3200</v>
      </c>
      <c r="E97" s="142">
        <v>3010</v>
      </c>
      <c r="F97" s="142">
        <v>3010</v>
      </c>
      <c r="G97" s="142">
        <v>3010</v>
      </c>
      <c r="J97" s="137" t="s">
        <v>290</v>
      </c>
      <c r="K97" s="134" t="s">
        <v>289</v>
      </c>
      <c r="R97" s="134"/>
    </row>
    <row r="98" spans="1:23" ht="15" hidden="1" thickBot="1">
      <c r="A98" s="381" t="s">
        <v>291</v>
      </c>
      <c r="B98" s="382"/>
      <c r="C98" s="382"/>
      <c r="D98" s="382"/>
      <c r="E98" s="382"/>
      <c r="F98" s="382"/>
      <c r="G98" s="383"/>
      <c r="J98" s="137" t="s">
        <v>291</v>
      </c>
      <c r="K98" s="137"/>
      <c r="L98" s="137"/>
      <c r="M98" s="137"/>
      <c r="N98" s="137"/>
      <c r="O98" s="137"/>
      <c r="P98" s="137"/>
      <c r="R98" s="134"/>
    </row>
    <row r="99" spans="1:23" ht="15" hidden="1" thickBot="1">
      <c r="A99" s="148" t="s">
        <v>295</v>
      </c>
      <c r="B99" s="149" t="s">
        <v>293</v>
      </c>
      <c r="C99" s="150" t="s">
        <v>277</v>
      </c>
      <c r="D99" s="150" t="s">
        <v>277</v>
      </c>
      <c r="E99" s="150" t="s">
        <v>277</v>
      </c>
      <c r="F99" s="150" t="s">
        <v>277</v>
      </c>
      <c r="G99" s="150" t="s">
        <v>277</v>
      </c>
      <c r="J99" s="137" t="s">
        <v>292</v>
      </c>
      <c r="K99" s="134" t="s">
        <v>293</v>
      </c>
      <c r="L99" s="134" t="s">
        <v>277</v>
      </c>
      <c r="M99" s="134" t="s">
        <v>277</v>
      </c>
      <c r="N99" s="134" t="s">
        <v>277</v>
      </c>
      <c r="O99" s="134" t="s">
        <v>277</v>
      </c>
      <c r="P99" s="134" t="s">
        <v>277</v>
      </c>
      <c r="R99" s="134"/>
    </row>
    <row r="100" spans="1:23">
      <c r="R100" s="134"/>
    </row>
    <row r="101" spans="1:23" ht="15" thickBot="1">
      <c r="A101" s="12" t="s">
        <v>297</v>
      </c>
      <c r="J101" s="134" t="str">
        <f>"Comparison between ADV fossil and "&amp;A101</f>
        <v>Comparison between ADV fossil and Pulverised coal supercritical CCS oxyfuel.</v>
      </c>
      <c r="R101" s="134"/>
      <c r="S101" s="134" t="s">
        <v>327</v>
      </c>
    </row>
    <row r="102" spans="1:23" ht="15" thickBot="1">
      <c r="A102" s="135"/>
      <c r="B102" s="136" t="s">
        <v>46</v>
      </c>
      <c r="C102" s="136">
        <v>2013</v>
      </c>
      <c r="D102" s="136">
        <v>2020</v>
      </c>
      <c r="E102" s="136">
        <v>2030</v>
      </c>
      <c r="F102" s="136">
        <v>2040</v>
      </c>
      <c r="G102" s="136">
        <v>2050</v>
      </c>
      <c r="J102" s="137"/>
      <c r="K102" s="137" t="s">
        <v>46</v>
      </c>
      <c r="L102" s="137">
        <v>2013</v>
      </c>
      <c r="M102" s="137">
        <v>2020</v>
      </c>
      <c r="N102" s="137">
        <v>2030</v>
      </c>
      <c r="O102" s="137">
        <v>2040</v>
      </c>
      <c r="P102" s="137">
        <v>2050</v>
      </c>
      <c r="R102" s="134"/>
      <c r="S102" s="137">
        <v>2013</v>
      </c>
      <c r="T102" s="137">
        <v>2020</v>
      </c>
      <c r="U102" s="137">
        <v>2030</v>
      </c>
      <c r="V102" s="137">
        <v>2040</v>
      </c>
      <c r="W102" s="137">
        <v>2050</v>
      </c>
    </row>
    <row r="103" spans="1:23" ht="15.6" thickTop="1" thickBot="1">
      <c r="A103" s="378" t="s">
        <v>257</v>
      </c>
      <c r="B103" s="379"/>
      <c r="C103" s="379"/>
      <c r="D103" s="379"/>
      <c r="E103" s="379"/>
      <c r="F103" s="379"/>
      <c r="G103" s="380"/>
      <c r="J103" s="137" t="s">
        <v>257</v>
      </c>
      <c r="R103" s="134"/>
    </row>
    <row r="104" spans="1:23" ht="15" thickBot="1">
      <c r="A104" s="138" t="s">
        <v>258</v>
      </c>
      <c r="B104" s="139" t="s">
        <v>189</v>
      </c>
      <c r="C104" s="140">
        <v>580</v>
      </c>
      <c r="D104" s="140">
        <v>580</v>
      </c>
      <c r="E104" s="140">
        <v>580</v>
      </c>
      <c r="F104" s="140">
        <v>580</v>
      </c>
      <c r="G104" s="140">
        <v>580</v>
      </c>
      <c r="J104" s="137" t="s">
        <v>258</v>
      </c>
      <c r="K104" s="134" t="s">
        <v>189</v>
      </c>
      <c r="R104" s="134"/>
    </row>
    <row r="105" spans="1:23" ht="15" thickBot="1">
      <c r="A105" s="138" t="s">
        <v>259</v>
      </c>
      <c r="B105" s="141" t="s">
        <v>189</v>
      </c>
      <c r="C105" s="142">
        <v>790</v>
      </c>
      <c r="D105" s="142">
        <v>790</v>
      </c>
      <c r="E105" s="142">
        <v>790</v>
      </c>
      <c r="F105" s="142">
        <v>790</v>
      </c>
      <c r="G105" s="142">
        <v>790</v>
      </c>
      <c r="J105" s="137" t="s">
        <v>259</v>
      </c>
      <c r="K105" s="134" t="s">
        <v>189</v>
      </c>
      <c r="R105" s="134"/>
    </row>
    <row r="106" spans="1:23" ht="15" thickBot="1">
      <c r="A106" s="138" t="s">
        <v>260</v>
      </c>
      <c r="B106" s="143" t="s">
        <v>189</v>
      </c>
      <c r="C106" s="144">
        <v>1615</v>
      </c>
      <c r="D106" s="144">
        <v>1570</v>
      </c>
      <c r="E106" s="144">
        <v>1490</v>
      </c>
      <c r="F106" s="144">
        <v>1450</v>
      </c>
      <c r="G106" s="144">
        <v>1450</v>
      </c>
      <c r="J106" s="137" t="s">
        <v>260</v>
      </c>
      <c r="K106" s="134" t="s">
        <v>189</v>
      </c>
      <c r="R106" s="134"/>
    </row>
    <row r="107" spans="1:23" ht="15" thickBot="1">
      <c r="A107" s="138" t="s">
        <v>261</v>
      </c>
      <c r="B107" s="141" t="s">
        <v>262</v>
      </c>
      <c r="C107" s="142">
        <v>90</v>
      </c>
      <c r="D107" s="142">
        <v>90</v>
      </c>
      <c r="E107" s="142">
        <v>90</v>
      </c>
      <c r="F107" s="142">
        <v>90</v>
      </c>
      <c r="G107" s="142">
        <v>90</v>
      </c>
      <c r="J107" s="137" t="s">
        <v>261</v>
      </c>
      <c r="K107" s="134" t="s">
        <v>262</v>
      </c>
      <c r="L107" s="134">
        <f>C107-'Adv fossil'!C85</f>
        <v>0</v>
      </c>
      <c r="M107" s="134">
        <f>D107-'Adv fossil'!D85</f>
        <v>0</v>
      </c>
      <c r="N107" s="134">
        <f>E107-'Adv fossil'!E85</f>
        <v>0</v>
      </c>
      <c r="O107" s="134">
        <f>F107-'Adv fossil'!F85</f>
        <v>0</v>
      </c>
      <c r="P107" s="134">
        <f>G107-'Adv fossil'!G85</f>
        <v>0</v>
      </c>
      <c r="R107" s="134"/>
    </row>
    <row r="108" spans="1:23" ht="15" thickBot="1">
      <c r="A108" s="138" t="s">
        <v>263</v>
      </c>
      <c r="B108" s="143" t="s">
        <v>262</v>
      </c>
      <c r="C108" s="144">
        <v>85</v>
      </c>
      <c r="D108" s="144">
        <v>85</v>
      </c>
      <c r="E108" s="144">
        <v>85</v>
      </c>
      <c r="F108" s="144">
        <v>85</v>
      </c>
      <c r="G108" s="144">
        <v>85</v>
      </c>
      <c r="J108" s="137" t="s">
        <v>263</v>
      </c>
      <c r="K108" s="134" t="s">
        <v>262</v>
      </c>
      <c r="L108" s="134">
        <f>C108-'Adv fossil'!C86</f>
        <v>0</v>
      </c>
      <c r="M108" s="134">
        <f>D108-'Adv fossil'!D86</f>
        <v>0</v>
      </c>
      <c r="N108" s="134">
        <f>E108-'Adv fossil'!E86</f>
        <v>0</v>
      </c>
      <c r="O108" s="134">
        <f>F108-'Adv fossil'!F86</f>
        <v>0</v>
      </c>
      <c r="P108" s="134">
        <f>G108-'Adv fossil'!G86</f>
        <v>0</v>
      </c>
      <c r="R108" s="134"/>
    </row>
    <row r="109" spans="1:23" ht="15" thickBot="1">
      <c r="A109" s="138" t="s">
        <v>264</v>
      </c>
      <c r="B109" s="141" t="s">
        <v>265</v>
      </c>
      <c r="C109" s="142">
        <v>40</v>
      </c>
      <c r="D109" s="142">
        <v>40</v>
      </c>
      <c r="E109" s="142">
        <v>40</v>
      </c>
      <c r="F109" s="142">
        <v>40</v>
      </c>
      <c r="G109" s="142">
        <v>40</v>
      </c>
      <c r="J109" s="137" t="s">
        <v>264</v>
      </c>
      <c r="K109" s="134" t="s">
        <v>265</v>
      </c>
      <c r="L109" s="134">
        <f>C109-'Adv fossil'!C87</f>
        <v>0</v>
      </c>
      <c r="M109" s="134">
        <f>D109-'Adv fossil'!D87</f>
        <v>0</v>
      </c>
      <c r="N109" s="134">
        <f>E109-'Adv fossil'!E87</f>
        <v>0</v>
      </c>
      <c r="O109" s="134">
        <f>F109-'Adv fossil'!F87</f>
        <v>0</v>
      </c>
      <c r="P109" s="134">
        <f>G109-'Adv fossil'!G87</f>
        <v>0</v>
      </c>
      <c r="R109" s="134"/>
    </row>
    <row r="110" spans="1:23" ht="15" thickBot="1">
      <c r="A110" s="138" t="s">
        <v>266</v>
      </c>
      <c r="B110" s="143" t="s">
        <v>262</v>
      </c>
      <c r="C110" s="144">
        <v>36</v>
      </c>
      <c r="D110" s="144">
        <v>37</v>
      </c>
      <c r="E110" s="144">
        <v>39</v>
      </c>
      <c r="F110" s="144">
        <v>40</v>
      </c>
      <c r="G110" s="144">
        <v>40</v>
      </c>
      <c r="J110" s="137" t="s">
        <v>266</v>
      </c>
      <c r="K110" s="134" t="s">
        <v>262</v>
      </c>
      <c r="L110" s="134">
        <f>C110-'Adv fossil'!C88</f>
        <v>-9</v>
      </c>
      <c r="M110" s="134">
        <f>D110-'Adv fossil'!D88</f>
        <v>-9</v>
      </c>
      <c r="N110" s="134">
        <f>E110-'Adv fossil'!E88</f>
        <v>-9</v>
      </c>
      <c r="O110" s="134">
        <f>F110-'Adv fossil'!F88</f>
        <v>-8</v>
      </c>
      <c r="P110" s="134">
        <f>G110-'Adv fossil'!G88</f>
        <v>-8</v>
      </c>
      <c r="R110" s="134" t="s">
        <v>328</v>
      </c>
      <c r="S110" s="134">
        <f>-L110+C110</f>
        <v>45</v>
      </c>
      <c r="T110" s="134">
        <f t="shared" ref="T110" si="20">-M110+D110</f>
        <v>46</v>
      </c>
      <c r="U110" s="134">
        <f t="shared" ref="U110" si="21">-N110+E110</f>
        <v>48</v>
      </c>
      <c r="V110" s="134">
        <f t="shared" ref="V110" si="22">-O110+F110</f>
        <v>48</v>
      </c>
      <c r="W110" s="134">
        <f t="shared" ref="W110" si="23">-P110+G110</f>
        <v>48</v>
      </c>
    </row>
    <row r="111" spans="1:23" ht="27" thickBot="1">
      <c r="A111" s="138" t="s">
        <v>267</v>
      </c>
      <c r="B111" s="141" t="s">
        <v>262</v>
      </c>
      <c r="C111" s="142">
        <v>9</v>
      </c>
      <c r="D111" s="142">
        <v>9</v>
      </c>
      <c r="E111" s="142">
        <v>9</v>
      </c>
      <c r="F111" s="142">
        <v>9</v>
      </c>
      <c r="G111" s="142">
        <v>9</v>
      </c>
      <c r="J111" s="137" t="s">
        <v>267</v>
      </c>
      <c r="K111" s="134" t="s">
        <v>262</v>
      </c>
      <c r="L111" s="134">
        <f>C111</f>
        <v>9</v>
      </c>
      <c r="M111" s="134">
        <f>D111</f>
        <v>9</v>
      </c>
      <c r="N111" s="134">
        <f>E111</f>
        <v>9</v>
      </c>
      <c r="O111" s="134">
        <f>F111</f>
        <v>9</v>
      </c>
      <c r="P111" s="134">
        <f>G111</f>
        <v>9</v>
      </c>
      <c r="R111" s="134" t="s">
        <v>329</v>
      </c>
      <c r="S111" s="134">
        <f>L111</f>
        <v>9</v>
      </c>
      <c r="T111" s="134">
        <f t="shared" ref="T111" si="24">M111</f>
        <v>9</v>
      </c>
      <c r="U111" s="134">
        <f t="shared" ref="U111" si="25">N111</f>
        <v>9</v>
      </c>
      <c r="V111" s="134">
        <f t="shared" ref="V111" si="26">O111</f>
        <v>9</v>
      </c>
      <c r="W111" s="134">
        <f t="shared" ref="W111" si="27">P111</f>
        <v>9</v>
      </c>
    </row>
    <row r="112" spans="1:23" ht="29.4" thickBot="1">
      <c r="A112" s="138" t="s">
        <v>268</v>
      </c>
      <c r="B112" s="143" t="s">
        <v>262</v>
      </c>
      <c r="C112" s="144">
        <v>90</v>
      </c>
      <c r="D112" s="144">
        <v>90</v>
      </c>
      <c r="E112" s="144">
        <v>90</v>
      </c>
      <c r="F112" s="144">
        <v>90</v>
      </c>
      <c r="G112" s="144">
        <v>90</v>
      </c>
      <c r="J112" s="137" t="s">
        <v>268</v>
      </c>
      <c r="K112" s="134" t="s">
        <v>262</v>
      </c>
      <c r="R112" s="134" t="s">
        <v>330</v>
      </c>
      <c r="S112" s="134">
        <f>S111/S110</f>
        <v>0.2</v>
      </c>
      <c r="T112" s="134">
        <f t="shared" ref="T112" si="28">T111/T110</f>
        <v>0.19565217391304349</v>
      </c>
      <c r="U112" s="134">
        <f t="shared" ref="U112" si="29">U111/U110</f>
        <v>0.1875</v>
      </c>
      <c r="V112" s="134">
        <f t="shared" ref="V112" si="30">V111/V110</f>
        <v>0.1875</v>
      </c>
      <c r="W112" s="134">
        <f t="shared" ref="W112" si="31">W111/W110</f>
        <v>0.1875</v>
      </c>
    </row>
    <row r="113" spans="1:18" ht="15" thickBot="1">
      <c r="A113" s="381" t="s">
        <v>269</v>
      </c>
      <c r="B113" s="382"/>
      <c r="C113" s="382"/>
      <c r="D113" s="382"/>
      <c r="E113" s="382"/>
      <c r="F113" s="382"/>
      <c r="G113" s="383"/>
      <c r="J113" s="137" t="s">
        <v>269</v>
      </c>
      <c r="K113" s="137"/>
      <c r="L113" s="137"/>
      <c r="M113" s="137"/>
      <c r="N113" s="137"/>
      <c r="O113" s="137"/>
      <c r="P113" s="137"/>
      <c r="R113" s="134"/>
    </row>
    <row r="114" spans="1:18" ht="16.2" thickBot="1">
      <c r="A114" s="138" t="s">
        <v>270</v>
      </c>
      <c r="B114" s="139" t="s">
        <v>271</v>
      </c>
      <c r="C114" s="140">
        <v>3000</v>
      </c>
      <c r="D114" s="140">
        <v>2700</v>
      </c>
      <c r="E114" s="140">
        <v>2550</v>
      </c>
      <c r="F114" s="140">
        <v>2550</v>
      </c>
      <c r="G114" s="140">
        <v>2550</v>
      </c>
      <c r="J114" s="137" t="s">
        <v>270</v>
      </c>
      <c r="K114" s="134" t="s">
        <v>271</v>
      </c>
      <c r="L114" s="145">
        <f>C114-'Adv fossil'!C90</f>
        <v>1400</v>
      </c>
      <c r="M114" s="145">
        <f>D114-'Adv fossil'!D90</f>
        <v>1100</v>
      </c>
      <c r="N114" s="145">
        <f>E114-'Adv fossil'!E90</f>
        <v>950</v>
      </c>
      <c r="O114" s="145">
        <f>F114-'Adv fossil'!F90</f>
        <v>950</v>
      </c>
      <c r="P114" s="145">
        <f>G114-'Adv fossil'!G90</f>
        <v>950</v>
      </c>
      <c r="R114" s="134"/>
    </row>
    <row r="115" spans="1:18" ht="16.2" thickBot="1">
      <c r="A115" s="138" t="s">
        <v>272</v>
      </c>
      <c r="B115" s="141" t="s">
        <v>271</v>
      </c>
      <c r="C115" s="142">
        <v>2600</v>
      </c>
      <c r="D115" s="142">
        <v>2340</v>
      </c>
      <c r="E115" s="142">
        <v>2210</v>
      </c>
      <c r="F115" s="142">
        <v>2210</v>
      </c>
      <c r="G115" s="142">
        <v>2210</v>
      </c>
      <c r="J115" s="137" t="s">
        <v>272</v>
      </c>
      <c r="K115" s="134" t="s">
        <v>271</v>
      </c>
      <c r="L115" s="145">
        <f>C115-'Adv fossil'!C91</f>
        <v>1050</v>
      </c>
      <c r="M115" s="145">
        <f>D115-'Adv fossil'!D91</f>
        <v>790</v>
      </c>
      <c r="N115" s="145">
        <f>E115-'Adv fossil'!E91</f>
        <v>660</v>
      </c>
      <c r="O115" s="145">
        <f>F115-'Adv fossil'!F91</f>
        <v>660</v>
      </c>
      <c r="P115" s="145">
        <f>G115-'Adv fossil'!G91</f>
        <v>660</v>
      </c>
      <c r="R115" s="134"/>
    </row>
    <row r="116" spans="1:18" ht="16.2" thickBot="1">
      <c r="A116" s="138" t="s">
        <v>273</v>
      </c>
      <c r="B116" s="143" t="s">
        <v>271</v>
      </c>
      <c r="C116" s="144">
        <v>3400</v>
      </c>
      <c r="D116" s="144">
        <v>3060</v>
      </c>
      <c r="E116" s="144">
        <v>2890</v>
      </c>
      <c r="F116" s="144">
        <v>2890</v>
      </c>
      <c r="G116" s="144">
        <v>2890</v>
      </c>
      <c r="J116" s="137" t="s">
        <v>273</v>
      </c>
      <c r="K116" s="134" t="s">
        <v>271</v>
      </c>
      <c r="L116" s="145">
        <f>C116-'Adv fossil'!C92</f>
        <v>1700</v>
      </c>
      <c r="M116" s="145">
        <f>D116-'Adv fossil'!D92</f>
        <v>1360</v>
      </c>
      <c r="N116" s="145">
        <f>E116-'Adv fossil'!E92</f>
        <v>1190</v>
      </c>
      <c r="O116" s="145">
        <f>F116-'Adv fossil'!F92</f>
        <v>1190</v>
      </c>
      <c r="P116" s="145">
        <f>G116-'Adv fossil'!G92</f>
        <v>1190</v>
      </c>
      <c r="R116" s="134"/>
    </row>
    <row r="117" spans="1:18" ht="27" thickBot="1">
      <c r="A117" s="138" t="s">
        <v>274</v>
      </c>
      <c r="B117" s="141"/>
      <c r="C117" s="384" t="s">
        <v>275</v>
      </c>
      <c r="D117" s="385"/>
      <c r="E117" s="385"/>
      <c r="F117" s="385"/>
      <c r="G117" s="386"/>
      <c r="J117" s="137" t="s">
        <v>274</v>
      </c>
      <c r="L117" s="134" t="s">
        <v>275</v>
      </c>
      <c r="R117" s="134"/>
    </row>
    <row r="118" spans="1:18" ht="15" thickBot="1">
      <c r="A118" s="138" t="s">
        <v>276</v>
      </c>
      <c r="B118" s="143" t="s">
        <v>262</v>
      </c>
      <c r="C118" s="144" t="s">
        <v>277</v>
      </c>
      <c r="D118" s="144" t="s">
        <v>277</v>
      </c>
      <c r="E118" s="144" t="s">
        <v>277</v>
      </c>
      <c r="F118" s="144" t="s">
        <v>277</v>
      </c>
      <c r="G118" s="144" t="s">
        <v>277</v>
      </c>
      <c r="J118" s="137" t="s">
        <v>276</v>
      </c>
      <c r="K118" s="134" t="s">
        <v>262</v>
      </c>
      <c r="L118" s="134" t="s">
        <v>277</v>
      </c>
      <c r="M118" s="134" t="s">
        <v>277</v>
      </c>
      <c r="N118" s="134" t="s">
        <v>277</v>
      </c>
      <c r="O118" s="134" t="s">
        <v>277</v>
      </c>
      <c r="P118" s="134" t="s">
        <v>277</v>
      </c>
      <c r="R118" s="134"/>
    </row>
    <row r="119" spans="1:18" ht="27" thickBot="1">
      <c r="A119" s="138" t="s">
        <v>278</v>
      </c>
      <c r="B119" s="141" t="s">
        <v>279</v>
      </c>
      <c r="C119" s="142">
        <v>2.5</v>
      </c>
      <c r="D119" s="142">
        <v>2.5</v>
      </c>
      <c r="E119" s="142">
        <v>2.5</v>
      </c>
      <c r="F119" s="142">
        <v>2.5</v>
      </c>
      <c r="G119" s="142">
        <v>2.5</v>
      </c>
      <c r="J119" s="137" t="s">
        <v>278</v>
      </c>
      <c r="K119" s="146" t="s">
        <v>279</v>
      </c>
      <c r="L119" s="147">
        <f>C119</f>
        <v>2.5</v>
      </c>
      <c r="M119" s="147">
        <f t="shared" ref="M119" si="32">D119</f>
        <v>2.5</v>
      </c>
      <c r="N119" s="147">
        <f t="shared" ref="N119" si="33">E119</f>
        <v>2.5</v>
      </c>
      <c r="O119" s="147">
        <f t="shared" ref="O119" si="34">F119</f>
        <v>2.5</v>
      </c>
      <c r="P119" s="147">
        <f t="shared" ref="P119" si="35">G119</f>
        <v>2.5</v>
      </c>
      <c r="R119" s="134"/>
    </row>
    <row r="120" spans="1:18" ht="16.2" thickBot="1">
      <c r="A120" s="138" t="s">
        <v>298</v>
      </c>
      <c r="B120" s="143" t="s">
        <v>262</v>
      </c>
      <c r="C120" s="144">
        <v>2</v>
      </c>
      <c r="D120" s="144">
        <v>2</v>
      </c>
      <c r="E120" s="144" t="s">
        <v>277</v>
      </c>
      <c r="F120" s="144" t="s">
        <v>277</v>
      </c>
      <c r="G120" s="144" t="s">
        <v>277</v>
      </c>
      <c r="J120" s="137" t="s">
        <v>280</v>
      </c>
      <c r="K120" s="134" t="s">
        <v>281</v>
      </c>
      <c r="L120" s="145">
        <f>C121-'Adv fossil'!C97</f>
        <v>-0.60000000000000009</v>
      </c>
      <c r="M120" s="145">
        <f>D121-'Adv fossil'!D97</f>
        <v>-0.60000000000000009</v>
      </c>
      <c r="N120" s="145">
        <f>E121-'Adv fossil'!E97</f>
        <v>-0.60000000000000009</v>
      </c>
      <c r="O120" s="145">
        <f>F121-'Adv fossil'!F97</f>
        <v>-0.60000000000000009</v>
      </c>
      <c r="P120" s="145">
        <f>G121-'Adv fossil'!G97</f>
        <v>-0.60000000000000009</v>
      </c>
      <c r="R120" s="134"/>
    </row>
    <row r="121" spans="1:18" ht="16.2" thickBot="1">
      <c r="A121" s="138" t="s">
        <v>280</v>
      </c>
      <c r="B121" s="141" t="s">
        <v>281</v>
      </c>
      <c r="C121" s="142">
        <v>3</v>
      </c>
      <c r="D121" s="142">
        <v>3</v>
      </c>
      <c r="E121" s="142">
        <v>3</v>
      </c>
      <c r="F121" s="142">
        <v>3</v>
      </c>
      <c r="G121" s="142">
        <v>3</v>
      </c>
      <c r="J121" s="137" t="s">
        <v>282</v>
      </c>
      <c r="K121" s="134" t="s">
        <v>281</v>
      </c>
      <c r="R121" s="134"/>
    </row>
    <row r="122" spans="1:18" ht="16.2" thickBot="1">
      <c r="A122" s="138" t="s">
        <v>282</v>
      </c>
      <c r="B122" s="143" t="s">
        <v>281</v>
      </c>
      <c r="C122" s="144">
        <v>15</v>
      </c>
      <c r="D122" s="144" t="s">
        <v>277</v>
      </c>
      <c r="E122" s="144" t="s">
        <v>277</v>
      </c>
      <c r="F122" s="144" t="s">
        <v>277</v>
      </c>
      <c r="G122" s="144" t="s">
        <v>277</v>
      </c>
      <c r="J122" s="137" t="s">
        <v>283</v>
      </c>
      <c r="R122" s="134"/>
    </row>
    <row r="123" spans="1:18" ht="15" thickBot="1">
      <c r="A123" s="138" t="s">
        <v>283</v>
      </c>
      <c r="B123" s="141">
        <v>1</v>
      </c>
      <c r="C123" s="142">
        <v>260</v>
      </c>
      <c r="D123" s="142">
        <v>260</v>
      </c>
      <c r="E123" s="142">
        <v>260</v>
      </c>
      <c r="F123" s="142">
        <v>260</v>
      </c>
      <c r="G123" s="142">
        <v>260</v>
      </c>
      <c r="J123" s="137" t="s">
        <v>284</v>
      </c>
      <c r="K123" s="137"/>
      <c r="L123" s="137"/>
      <c r="M123" s="137"/>
      <c r="N123" s="137"/>
      <c r="O123" s="137"/>
      <c r="P123" s="137"/>
      <c r="R123" s="134"/>
    </row>
    <row r="124" spans="1:18" ht="16.2" thickBot="1">
      <c r="A124" s="381" t="s">
        <v>284</v>
      </c>
      <c r="B124" s="382"/>
      <c r="C124" s="382"/>
      <c r="D124" s="382"/>
      <c r="E124" s="382"/>
      <c r="F124" s="382"/>
      <c r="G124" s="383"/>
      <c r="J124" s="137" t="s">
        <v>285</v>
      </c>
      <c r="K124" s="134" t="s">
        <v>286</v>
      </c>
      <c r="R124" s="134"/>
    </row>
    <row r="125" spans="1:18" ht="29.4" thickBot="1">
      <c r="A125" s="138" t="s">
        <v>285</v>
      </c>
      <c r="B125" s="149" t="s">
        <v>286</v>
      </c>
      <c r="C125" s="150">
        <v>90</v>
      </c>
      <c r="D125" s="150">
        <v>87</v>
      </c>
      <c r="E125" s="150">
        <v>85</v>
      </c>
      <c r="F125" s="150">
        <v>80</v>
      </c>
      <c r="G125" s="150">
        <v>80</v>
      </c>
      <c r="J125" s="137" t="s">
        <v>287</v>
      </c>
      <c r="K125" s="134" t="s">
        <v>286</v>
      </c>
      <c r="R125" s="134"/>
    </row>
    <row r="126" spans="1:18" ht="29.4" thickBot="1">
      <c r="A126" s="138" t="s">
        <v>287</v>
      </c>
      <c r="B126" s="143" t="s">
        <v>286</v>
      </c>
      <c r="C126" s="144">
        <v>110</v>
      </c>
      <c r="D126" s="144">
        <v>105</v>
      </c>
      <c r="E126" s="144">
        <v>100</v>
      </c>
      <c r="F126" s="144">
        <v>95</v>
      </c>
      <c r="G126" s="144">
        <v>95</v>
      </c>
      <c r="J126" s="137" t="s">
        <v>288</v>
      </c>
      <c r="K126" s="134" t="s">
        <v>289</v>
      </c>
      <c r="R126" s="134"/>
    </row>
    <row r="127" spans="1:18" ht="15" thickBot="1">
      <c r="A127" s="138" t="s">
        <v>288</v>
      </c>
      <c r="B127" s="141" t="s">
        <v>289</v>
      </c>
      <c r="C127" s="142" t="s">
        <v>277</v>
      </c>
      <c r="D127" s="142" t="s">
        <v>277</v>
      </c>
      <c r="E127" s="142" t="s">
        <v>277</v>
      </c>
      <c r="F127" s="142" t="s">
        <v>277</v>
      </c>
      <c r="G127" s="142" t="s">
        <v>277</v>
      </c>
      <c r="J127" s="137" t="s">
        <v>290</v>
      </c>
      <c r="K127" s="134" t="s">
        <v>289</v>
      </c>
      <c r="R127" s="134"/>
    </row>
    <row r="128" spans="1:18" ht="15" thickBot="1">
      <c r="A128" s="138" t="s">
        <v>290</v>
      </c>
      <c r="B128" s="143" t="s">
        <v>289</v>
      </c>
      <c r="C128" s="144" t="s">
        <v>277</v>
      </c>
      <c r="D128" s="144" t="s">
        <v>277</v>
      </c>
      <c r="E128" s="144" t="s">
        <v>277</v>
      </c>
      <c r="F128" s="144" t="s">
        <v>277</v>
      </c>
      <c r="G128" s="144" t="s">
        <v>277</v>
      </c>
      <c r="J128" s="137" t="s">
        <v>291</v>
      </c>
      <c r="K128" s="137"/>
      <c r="L128" s="137"/>
      <c r="M128" s="137"/>
      <c r="N128" s="137"/>
      <c r="O128" s="137"/>
      <c r="P128" s="137"/>
      <c r="R128" s="134"/>
    </row>
    <row r="129" spans="1:18" ht="15" thickBot="1">
      <c r="A129" s="381" t="s">
        <v>291</v>
      </c>
      <c r="B129" s="382"/>
      <c r="C129" s="382"/>
      <c r="D129" s="382"/>
      <c r="E129" s="382"/>
      <c r="F129" s="382"/>
      <c r="G129" s="383"/>
      <c r="J129" s="137" t="s">
        <v>292</v>
      </c>
      <c r="K129" s="134" t="s">
        <v>293</v>
      </c>
      <c r="L129" s="134" t="s">
        <v>277</v>
      </c>
      <c r="M129" s="134" t="s">
        <v>277</v>
      </c>
      <c r="N129" s="134" t="s">
        <v>277</v>
      </c>
      <c r="O129" s="134" t="s">
        <v>277</v>
      </c>
      <c r="P129" s="134" t="s">
        <v>277</v>
      </c>
      <c r="R129" s="134"/>
    </row>
    <row r="130" spans="1:18" ht="15" thickBot="1">
      <c r="A130" s="148" t="s">
        <v>295</v>
      </c>
      <c r="B130" s="139" t="s">
        <v>293</v>
      </c>
      <c r="C130" s="140" t="s">
        <v>277</v>
      </c>
      <c r="D130" s="140" t="s">
        <v>277</v>
      </c>
      <c r="E130" s="140" t="s">
        <v>277</v>
      </c>
      <c r="F130" s="140" t="s">
        <v>277</v>
      </c>
      <c r="G130" s="140" t="s">
        <v>277</v>
      </c>
      <c r="R130" s="134"/>
    </row>
    <row r="131" spans="1:18">
      <c r="R131" s="134"/>
    </row>
    <row r="132" spans="1:18" hidden="1">
      <c r="A132" s="12" t="s">
        <v>299</v>
      </c>
      <c r="J132" s="134" t="str">
        <f>"Comparison between ADV fossil and "&amp;A132</f>
        <v>Comparison between ADV fossil and IGCC CCS pre-combustion.</v>
      </c>
      <c r="R132" s="134"/>
    </row>
    <row r="133" spans="1:18" ht="15" hidden="1" thickBot="1">
      <c r="A133" s="135"/>
      <c r="B133" s="136" t="s">
        <v>46</v>
      </c>
      <c r="C133" s="136">
        <v>2013</v>
      </c>
      <c r="D133" s="136">
        <v>2020</v>
      </c>
      <c r="E133" s="136">
        <v>2030</v>
      </c>
      <c r="F133" s="136">
        <v>2040</v>
      </c>
      <c r="G133" s="136">
        <v>2050</v>
      </c>
      <c r="J133" s="137"/>
      <c r="K133" s="137" t="s">
        <v>46</v>
      </c>
      <c r="L133" s="137">
        <v>2013</v>
      </c>
      <c r="M133" s="137">
        <v>2020</v>
      </c>
      <c r="N133" s="137">
        <v>2030</v>
      </c>
      <c r="O133" s="137">
        <v>2040</v>
      </c>
      <c r="P133" s="137">
        <v>2050</v>
      </c>
      <c r="R133" s="134"/>
    </row>
    <row r="134" spans="1:18" ht="15.6" hidden="1" thickTop="1" thickBot="1">
      <c r="A134" s="378" t="s">
        <v>257</v>
      </c>
      <c r="B134" s="379"/>
      <c r="C134" s="379"/>
      <c r="D134" s="379"/>
      <c r="E134" s="379"/>
      <c r="F134" s="379"/>
      <c r="G134" s="380"/>
      <c r="J134" s="137" t="s">
        <v>257</v>
      </c>
      <c r="R134" s="134"/>
    </row>
    <row r="135" spans="1:18" ht="15" hidden="1" thickBot="1">
      <c r="A135" s="138" t="s">
        <v>258</v>
      </c>
      <c r="B135" s="139" t="s">
        <v>189</v>
      </c>
      <c r="C135" s="140">
        <v>510</v>
      </c>
      <c r="D135" s="140">
        <v>510</v>
      </c>
      <c r="E135" s="140">
        <v>510</v>
      </c>
      <c r="F135" s="140">
        <v>510</v>
      </c>
      <c r="G135" s="140">
        <v>510</v>
      </c>
      <c r="J135" s="137" t="s">
        <v>258</v>
      </c>
      <c r="K135" s="134" t="s">
        <v>189</v>
      </c>
      <c r="R135" s="134"/>
    </row>
    <row r="136" spans="1:18" ht="15" hidden="1" thickBot="1">
      <c r="A136" s="138" t="s">
        <v>259</v>
      </c>
      <c r="B136" s="141" t="s">
        <v>189</v>
      </c>
      <c r="C136" s="142">
        <v>675</v>
      </c>
      <c r="D136" s="142">
        <v>675</v>
      </c>
      <c r="E136" s="142">
        <v>675</v>
      </c>
      <c r="F136" s="142">
        <v>675</v>
      </c>
      <c r="G136" s="142">
        <v>675</v>
      </c>
      <c r="J136" s="137" t="s">
        <v>259</v>
      </c>
      <c r="K136" s="134" t="s">
        <v>189</v>
      </c>
      <c r="R136" s="134"/>
    </row>
    <row r="137" spans="1:18" ht="15" hidden="1" thickBot="1">
      <c r="A137" s="138" t="s">
        <v>260</v>
      </c>
      <c r="B137" s="143" t="s">
        <v>189</v>
      </c>
      <c r="C137" s="144">
        <v>1460</v>
      </c>
      <c r="D137" s="144">
        <v>1380</v>
      </c>
      <c r="E137" s="144">
        <v>1380</v>
      </c>
      <c r="F137" s="144">
        <v>1160</v>
      </c>
      <c r="G137" s="144">
        <v>1160</v>
      </c>
      <c r="J137" s="137" t="s">
        <v>260</v>
      </c>
      <c r="K137" s="134" t="s">
        <v>189</v>
      </c>
      <c r="R137" s="134"/>
    </row>
    <row r="138" spans="1:18" ht="15" hidden="1" thickBot="1">
      <c r="A138" s="138" t="s">
        <v>261</v>
      </c>
      <c r="B138" s="141" t="s">
        <v>262</v>
      </c>
      <c r="C138" s="142">
        <v>90</v>
      </c>
      <c r="D138" s="142">
        <v>90</v>
      </c>
      <c r="E138" s="142">
        <v>90</v>
      </c>
      <c r="F138" s="142">
        <v>90</v>
      </c>
      <c r="G138" s="142">
        <v>90</v>
      </c>
      <c r="J138" s="137" t="s">
        <v>261</v>
      </c>
      <c r="K138" s="134" t="s">
        <v>262</v>
      </c>
      <c r="L138" s="134">
        <f>C138-'Adv fossil'!C168</f>
        <v>0</v>
      </c>
      <c r="M138" s="134">
        <f>D138-'Adv fossil'!D168</f>
        <v>0</v>
      </c>
      <c r="N138" s="134">
        <f>E138-'Adv fossil'!E168</f>
        <v>0</v>
      </c>
      <c r="O138" s="134">
        <f>F138-'Adv fossil'!F168</f>
        <v>0</v>
      </c>
      <c r="P138" s="134">
        <f>G138-'Adv fossil'!G168</f>
        <v>0</v>
      </c>
      <c r="R138" s="134"/>
    </row>
    <row r="139" spans="1:18" ht="15" hidden="1" thickBot="1">
      <c r="A139" s="138" t="s">
        <v>263</v>
      </c>
      <c r="B139" s="143" t="s">
        <v>262</v>
      </c>
      <c r="C139" s="144">
        <v>85</v>
      </c>
      <c r="D139" s="144">
        <v>85</v>
      </c>
      <c r="E139" s="144">
        <v>85</v>
      </c>
      <c r="F139" s="144">
        <v>85</v>
      </c>
      <c r="G139" s="144">
        <v>85</v>
      </c>
      <c r="J139" s="137" t="s">
        <v>263</v>
      </c>
      <c r="K139" s="134" t="s">
        <v>262</v>
      </c>
      <c r="L139" s="134">
        <f>C139-'Adv fossil'!C169</f>
        <v>0</v>
      </c>
      <c r="M139" s="134">
        <f>D139-'Adv fossil'!D169</f>
        <v>0</v>
      </c>
      <c r="N139" s="134">
        <f>E139-'Adv fossil'!E169</f>
        <v>0</v>
      </c>
      <c r="O139" s="134">
        <f>F139-'Adv fossil'!F169</f>
        <v>0</v>
      </c>
      <c r="P139" s="134">
        <f>G139-'Adv fossil'!G169</f>
        <v>0</v>
      </c>
      <c r="R139" s="134"/>
    </row>
    <row r="140" spans="1:18" ht="15" hidden="1" thickBot="1">
      <c r="A140" s="138" t="s">
        <v>264</v>
      </c>
      <c r="B140" s="141" t="s">
        <v>265</v>
      </c>
      <c r="C140" s="142">
        <v>35</v>
      </c>
      <c r="D140" s="142">
        <v>35</v>
      </c>
      <c r="E140" s="142">
        <v>35</v>
      </c>
      <c r="F140" s="142">
        <v>35</v>
      </c>
      <c r="G140" s="142">
        <v>35</v>
      </c>
      <c r="J140" s="137" t="s">
        <v>264</v>
      </c>
      <c r="K140" s="134" t="s">
        <v>265</v>
      </c>
      <c r="L140" s="134">
        <f>C140-'Adv fossil'!C170</f>
        <v>0</v>
      </c>
      <c r="M140" s="134">
        <f>D140-'Adv fossil'!D170</f>
        <v>0</v>
      </c>
      <c r="N140" s="134">
        <f>E140-'Adv fossil'!E170</f>
        <v>0</v>
      </c>
      <c r="O140" s="134">
        <f>F140-'Adv fossil'!F170</f>
        <v>0</v>
      </c>
      <c r="P140" s="134">
        <f>G140-'Adv fossil'!G170</f>
        <v>0</v>
      </c>
      <c r="R140" s="134"/>
    </row>
    <row r="141" spans="1:18" ht="15" hidden="1" thickBot="1">
      <c r="A141" s="138" t="s">
        <v>266</v>
      </c>
      <c r="B141" s="143" t="s">
        <v>262</v>
      </c>
      <c r="C141" s="144">
        <v>35</v>
      </c>
      <c r="D141" s="144">
        <v>37</v>
      </c>
      <c r="E141" s="144">
        <v>40</v>
      </c>
      <c r="F141" s="144">
        <v>41</v>
      </c>
      <c r="G141" s="144">
        <v>44</v>
      </c>
      <c r="J141" s="137" t="s">
        <v>266</v>
      </c>
      <c r="K141" s="134" t="s">
        <v>262</v>
      </c>
      <c r="L141" s="134">
        <f>C141-'Adv fossil'!C171</f>
        <v>-10</v>
      </c>
      <c r="M141" s="134">
        <f>D141-'Adv fossil'!D171</f>
        <v>-9</v>
      </c>
      <c r="N141" s="134">
        <f>E141-'Adv fossil'!E171</f>
        <v>-6</v>
      </c>
      <c r="O141" s="134">
        <f>F141-'Adv fossil'!F171</f>
        <v>-6</v>
      </c>
      <c r="P141" s="134">
        <f>G141-'Adv fossil'!G171</f>
        <v>-6</v>
      </c>
      <c r="R141" s="134"/>
    </row>
    <row r="142" spans="1:18" ht="27" hidden="1" thickBot="1">
      <c r="A142" s="138" t="s">
        <v>267</v>
      </c>
      <c r="B142" s="141" t="s">
        <v>262</v>
      </c>
      <c r="C142" s="142">
        <v>10</v>
      </c>
      <c r="D142" s="142">
        <v>9</v>
      </c>
      <c r="E142" s="142">
        <v>6</v>
      </c>
      <c r="F142" s="142">
        <v>6</v>
      </c>
      <c r="G142" s="142">
        <v>6</v>
      </c>
      <c r="J142" s="137" t="s">
        <v>267</v>
      </c>
      <c r="K142" s="134" t="s">
        <v>262</v>
      </c>
      <c r="L142" s="134">
        <f>C142</f>
        <v>10</v>
      </c>
      <c r="M142" s="134">
        <f>D142</f>
        <v>9</v>
      </c>
      <c r="N142" s="134">
        <f>E142</f>
        <v>6</v>
      </c>
      <c r="O142" s="134">
        <f>F142</f>
        <v>6</v>
      </c>
      <c r="P142" s="134">
        <f>G142</f>
        <v>6</v>
      </c>
      <c r="R142" s="134"/>
    </row>
    <row r="143" spans="1:18" ht="29.4" hidden="1" thickBot="1">
      <c r="A143" s="138" t="s">
        <v>268</v>
      </c>
      <c r="B143" s="143" t="s">
        <v>262</v>
      </c>
      <c r="C143" s="144">
        <v>88</v>
      </c>
      <c r="D143" s="144">
        <v>88</v>
      </c>
      <c r="E143" s="144">
        <v>88</v>
      </c>
      <c r="F143" s="144">
        <v>88</v>
      </c>
      <c r="G143" s="144">
        <v>88</v>
      </c>
      <c r="J143" s="137" t="s">
        <v>268</v>
      </c>
      <c r="K143" s="134" t="s">
        <v>262</v>
      </c>
      <c r="R143" s="134"/>
    </row>
    <row r="144" spans="1:18" ht="15" hidden="1" thickBot="1">
      <c r="A144" s="381" t="s">
        <v>269</v>
      </c>
      <c r="B144" s="382"/>
      <c r="C144" s="382"/>
      <c r="D144" s="382"/>
      <c r="E144" s="382"/>
      <c r="F144" s="382"/>
      <c r="G144" s="383"/>
      <c r="J144" s="137" t="s">
        <v>269</v>
      </c>
      <c r="K144" s="137"/>
      <c r="L144" s="137"/>
      <c r="M144" s="137"/>
      <c r="N144" s="137"/>
      <c r="O144" s="137"/>
      <c r="P144" s="137"/>
      <c r="R144" s="134"/>
    </row>
    <row r="145" spans="1:18" ht="16.2" hidden="1" thickBot="1">
      <c r="A145" s="138" t="s">
        <v>270</v>
      </c>
      <c r="B145" s="139" t="s">
        <v>271</v>
      </c>
      <c r="C145" s="140">
        <v>3100</v>
      </c>
      <c r="D145" s="140">
        <v>2885</v>
      </c>
      <c r="E145" s="140">
        <v>2825</v>
      </c>
      <c r="F145" s="140">
        <v>2825</v>
      </c>
      <c r="G145" s="140">
        <v>2825</v>
      </c>
      <c r="J145" s="137" t="s">
        <v>270</v>
      </c>
      <c r="K145" s="134" t="s">
        <v>271</v>
      </c>
      <c r="L145" s="145">
        <f>C145-'Adv fossil'!C173</f>
        <v>600</v>
      </c>
      <c r="M145" s="145">
        <f>D145-'Adv fossil'!D173</f>
        <v>585</v>
      </c>
      <c r="N145" s="145">
        <f>E145-'Adv fossil'!E173</f>
        <v>525</v>
      </c>
      <c r="O145" s="145">
        <f>F145-'Adv fossil'!F173</f>
        <v>525</v>
      </c>
      <c r="P145" s="145">
        <f>G145-'Adv fossil'!G173</f>
        <v>625</v>
      </c>
      <c r="R145" s="134"/>
    </row>
    <row r="146" spans="1:18" ht="16.2" hidden="1" thickBot="1">
      <c r="A146" s="138" t="s">
        <v>272</v>
      </c>
      <c r="B146" s="141" t="s">
        <v>271</v>
      </c>
      <c r="C146" s="142">
        <v>2800</v>
      </c>
      <c r="D146" s="142">
        <v>2600</v>
      </c>
      <c r="E146" s="142">
        <v>2550</v>
      </c>
      <c r="F146" s="142">
        <v>2550</v>
      </c>
      <c r="G146" s="142">
        <v>2550</v>
      </c>
      <c r="J146" s="137" t="s">
        <v>272</v>
      </c>
      <c r="K146" s="134" t="s">
        <v>271</v>
      </c>
      <c r="L146" s="145">
        <f>C146-'Adv fossil'!C174</f>
        <v>350</v>
      </c>
      <c r="M146" s="145">
        <f>D146-'Adv fossil'!D174</f>
        <v>345</v>
      </c>
      <c r="N146" s="145">
        <f>E146-'Adv fossil'!E174</f>
        <v>295</v>
      </c>
      <c r="O146" s="145">
        <f>F146-'Adv fossil'!F174</f>
        <v>495</v>
      </c>
      <c r="P146" s="145">
        <f>G146-'Adv fossil'!G174</f>
        <v>400</v>
      </c>
      <c r="R146" s="134"/>
    </row>
    <row r="147" spans="1:18" ht="16.2" hidden="1" thickBot="1">
      <c r="A147" s="138" t="s">
        <v>273</v>
      </c>
      <c r="B147" s="143" t="s">
        <v>271</v>
      </c>
      <c r="C147" s="144">
        <v>3550</v>
      </c>
      <c r="D147" s="144">
        <v>3300</v>
      </c>
      <c r="E147" s="144">
        <v>3230</v>
      </c>
      <c r="F147" s="144">
        <v>3230</v>
      </c>
      <c r="G147" s="144">
        <v>3230</v>
      </c>
      <c r="J147" s="137" t="s">
        <v>273</v>
      </c>
      <c r="K147" s="134" t="s">
        <v>271</v>
      </c>
      <c r="L147" s="145">
        <f>C147-'Adv fossil'!C175</f>
        <v>450</v>
      </c>
      <c r="M147" s="145">
        <f>D147-'Adv fossil'!D175</f>
        <v>450</v>
      </c>
      <c r="N147" s="145">
        <f>E147-'Adv fossil'!E175</f>
        <v>380</v>
      </c>
      <c r="O147" s="145">
        <f>F147-'Adv fossil'!F175</f>
        <v>380</v>
      </c>
      <c r="P147" s="145">
        <f>G147-'Adv fossil'!G175</f>
        <v>500</v>
      </c>
      <c r="R147" s="134"/>
    </row>
    <row r="148" spans="1:18" ht="27" hidden="1" thickBot="1">
      <c r="A148" s="138" t="s">
        <v>274</v>
      </c>
      <c r="B148" s="141"/>
      <c r="C148" s="384" t="s">
        <v>275</v>
      </c>
      <c r="D148" s="385"/>
      <c r="E148" s="385"/>
      <c r="F148" s="385"/>
      <c r="G148" s="386"/>
      <c r="J148" s="137" t="s">
        <v>274</v>
      </c>
      <c r="L148" s="134" t="s">
        <v>275</v>
      </c>
      <c r="R148" s="134"/>
    </row>
    <row r="149" spans="1:18" ht="15" hidden="1" thickBot="1">
      <c r="A149" s="138" t="s">
        <v>276</v>
      </c>
      <c r="B149" s="143" t="s">
        <v>262</v>
      </c>
      <c r="C149" s="144">
        <v>5</v>
      </c>
      <c r="D149" s="144">
        <v>5</v>
      </c>
      <c r="E149" s="144">
        <v>5</v>
      </c>
      <c r="F149" s="144">
        <v>5</v>
      </c>
      <c r="G149" s="144" t="s">
        <v>277</v>
      </c>
      <c r="J149" s="137" t="s">
        <v>276</v>
      </c>
      <c r="K149" s="134" t="s">
        <v>262</v>
      </c>
      <c r="L149" s="134" t="s">
        <v>277</v>
      </c>
      <c r="M149" s="134" t="s">
        <v>277</v>
      </c>
      <c r="N149" s="134" t="s">
        <v>277</v>
      </c>
      <c r="O149" s="134" t="s">
        <v>277</v>
      </c>
      <c r="P149" s="134" t="s">
        <v>277</v>
      </c>
      <c r="R149" s="134"/>
    </row>
    <row r="150" spans="1:18" ht="27" hidden="1" thickBot="1">
      <c r="A150" s="138" t="s">
        <v>278</v>
      </c>
      <c r="B150" s="141" t="s">
        <v>279</v>
      </c>
      <c r="C150" s="142">
        <v>3</v>
      </c>
      <c r="D150" s="142">
        <v>3</v>
      </c>
      <c r="E150" s="142">
        <v>3</v>
      </c>
      <c r="F150" s="142">
        <v>3</v>
      </c>
      <c r="G150" s="142">
        <v>3</v>
      </c>
      <c r="J150" s="137" t="s">
        <v>278</v>
      </c>
      <c r="K150" s="146" t="s">
        <v>279</v>
      </c>
      <c r="L150" s="147">
        <f>C150-'Adv fossil'!C178</f>
        <v>0.5</v>
      </c>
      <c r="M150" s="147">
        <f>D150-'Adv fossil'!D178</f>
        <v>0.5</v>
      </c>
      <c r="N150" s="147">
        <f>E150-'Adv fossil'!E178</f>
        <v>0.5</v>
      </c>
      <c r="O150" s="147">
        <f>F150-'Adv fossil'!F178</f>
        <v>0.5</v>
      </c>
      <c r="P150" s="147">
        <f>G150-'Adv fossil'!G178</f>
        <v>0.5</v>
      </c>
      <c r="R150" s="134"/>
    </row>
    <row r="151" spans="1:18" ht="16.2" hidden="1" thickBot="1">
      <c r="A151" s="138" t="s">
        <v>280</v>
      </c>
      <c r="B151" s="143" t="s">
        <v>281</v>
      </c>
      <c r="C151" s="144">
        <v>6</v>
      </c>
      <c r="D151" s="144">
        <v>6</v>
      </c>
      <c r="E151" s="144">
        <v>6</v>
      </c>
      <c r="F151" s="144">
        <v>6</v>
      </c>
      <c r="G151" s="144">
        <v>6</v>
      </c>
      <c r="J151" s="137" t="s">
        <v>280</v>
      </c>
      <c r="K151" s="134" t="s">
        <v>281</v>
      </c>
      <c r="L151" s="145">
        <f>C151-'Adv fossil'!C179</f>
        <v>1</v>
      </c>
      <c r="M151" s="145">
        <f>D151-'Adv fossil'!D179</f>
        <v>1</v>
      </c>
      <c r="N151" s="145">
        <f>E151-'Adv fossil'!E179</f>
        <v>1</v>
      </c>
      <c r="O151" s="145">
        <f>F151-'Adv fossil'!F179</f>
        <v>1</v>
      </c>
      <c r="P151" s="145">
        <f>G151-'Adv fossil'!G179</f>
        <v>1</v>
      </c>
      <c r="R151" s="134"/>
    </row>
    <row r="152" spans="1:18" ht="16.2" hidden="1" thickBot="1">
      <c r="A152" s="138" t="s">
        <v>282</v>
      </c>
      <c r="B152" s="141" t="s">
        <v>281</v>
      </c>
      <c r="C152" s="142">
        <v>5.5</v>
      </c>
      <c r="D152" s="142" t="s">
        <v>277</v>
      </c>
      <c r="E152" s="142" t="s">
        <v>277</v>
      </c>
      <c r="F152" s="142" t="s">
        <v>277</v>
      </c>
      <c r="G152" s="142" t="s">
        <v>277</v>
      </c>
      <c r="J152" s="137" t="s">
        <v>282</v>
      </c>
      <c r="K152" s="134" t="s">
        <v>281</v>
      </c>
      <c r="R152" s="134"/>
    </row>
    <row r="153" spans="1:18" ht="15" hidden="1" thickBot="1">
      <c r="A153" s="138" t="s">
        <v>283</v>
      </c>
      <c r="B153" s="143">
        <v>1</v>
      </c>
      <c r="C153" s="144">
        <v>400</v>
      </c>
      <c r="D153" s="144">
        <v>400</v>
      </c>
      <c r="E153" s="144">
        <v>400</v>
      </c>
      <c r="F153" s="144">
        <v>400</v>
      </c>
      <c r="G153" s="144">
        <v>400</v>
      </c>
      <c r="J153" s="137" t="s">
        <v>283</v>
      </c>
      <c r="R153" s="134"/>
    </row>
    <row r="154" spans="1:18" ht="15" hidden="1" thickBot="1">
      <c r="A154" s="381" t="s">
        <v>284</v>
      </c>
      <c r="B154" s="382"/>
      <c r="C154" s="382"/>
      <c r="D154" s="382"/>
      <c r="E154" s="382"/>
      <c r="F154" s="382"/>
      <c r="G154" s="383"/>
      <c r="J154" s="137" t="s">
        <v>284</v>
      </c>
      <c r="K154" s="137"/>
      <c r="L154" s="137"/>
      <c r="M154" s="137"/>
      <c r="N154" s="137"/>
      <c r="O154" s="137"/>
      <c r="P154" s="137"/>
      <c r="R154" s="134"/>
    </row>
    <row r="155" spans="1:18" ht="29.4" hidden="1" thickBot="1">
      <c r="A155" s="138" t="s">
        <v>285</v>
      </c>
      <c r="B155" s="139" t="s">
        <v>286</v>
      </c>
      <c r="C155" s="140">
        <v>150</v>
      </c>
      <c r="D155" s="140">
        <v>140</v>
      </c>
      <c r="E155" s="140">
        <v>130</v>
      </c>
      <c r="F155" s="140">
        <v>125</v>
      </c>
      <c r="G155" s="140">
        <v>118</v>
      </c>
      <c r="J155" s="137" t="s">
        <v>285</v>
      </c>
      <c r="K155" s="134" t="s">
        <v>286</v>
      </c>
      <c r="R155" s="134"/>
    </row>
    <row r="156" spans="1:18" ht="29.4" hidden="1" thickBot="1">
      <c r="A156" s="138" t="s">
        <v>287</v>
      </c>
      <c r="B156" s="141" t="s">
        <v>286</v>
      </c>
      <c r="C156" s="142">
        <v>125</v>
      </c>
      <c r="D156" s="142">
        <v>120</v>
      </c>
      <c r="E156" s="142">
        <v>110</v>
      </c>
      <c r="F156" s="142">
        <v>105</v>
      </c>
      <c r="G156" s="142">
        <v>100</v>
      </c>
      <c r="J156" s="137" t="s">
        <v>287</v>
      </c>
      <c r="K156" s="134" t="s">
        <v>286</v>
      </c>
      <c r="R156" s="134"/>
    </row>
    <row r="157" spans="1:18" ht="15" hidden="1" thickBot="1">
      <c r="A157" s="138" t="s">
        <v>288</v>
      </c>
      <c r="B157" s="143" t="s">
        <v>289</v>
      </c>
      <c r="C157" s="144">
        <v>2050</v>
      </c>
      <c r="D157" s="144">
        <v>1940</v>
      </c>
      <c r="E157" s="144">
        <v>1795</v>
      </c>
      <c r="F157" s="144">
        <v>1750</v>
      </c>
      <c r="G157" s="144">
        <v>1630</v>
      </c>
      <c r="J157" s="137" t="s">
        <v>288</v>
      </c>
      <c r="K157" s="134" t="s">
        <v>289</v>
      </c>
      <c r="R157" s="134"/>
    </row>
    <row r="158" spans="1:18" ht="15" hidden="1" thickBot="1">
      <c r="A158" s="138" t="s">
        <v>290</v>
      </c>
      <c r="B158" s="141" t="s">
        <v>289</v>
      </c>
      <c r="C158" s="142">
        <v>2510</v>
      </c>
      <c r="D158" s="142">
        <v>2375</v>
      </c>
      <c r="E158" s="142">
        <v>2195</v>
      </c>
      <c r="F158" s="142">
        <v>2150</v>
      </c>
      <c r="G158" s="142">
        <v>2000</v>
      </c>
      <c r="J158" s="137" t="s">
        <v>290</v>
      </c>
      <c r="K158" s="134" t="s">
        <v>289</v>
      </c>
      <c r="R158" s="134"/>
    </row>
    <row r="159" spans="1:18" ht="15" hidden="1" thickBot="1">
      <c r="A159" s="381" t="s">
        <v>291</v>
      </c>
      <c r="B159" s="382"/>
      <c r="C159" s="382"/>
      <c r="D159" s="382"/>
      <c r="E159" s="382"/>
      <c r="F159" s="382"/>
      <c r="G159" s="383"/>
      <c r="J159" s="137" t="s">
        <v>291</v>
      </c>
      <c r="K159" s="137"/>
      <c r="L159" s="137"/>
      <c r="M159" s="137"/>
      <c r="N159" s="137"/>
      <c r="O159" s="137"/>
      <c r="P159" s="137"/>
      <c r="R159" s="134"/>
    </row>
    <row r="160" spans="1:18" ht="15" hidden="1" thickBot="1">
      <c r="A160" s="148" t="s">
        <v>295</v>
      </c>
      <c r="B160" s="149" t="s">
        <v>293</v>
      </c>
      <c r="C160" s="150" t="s">
        <v>277</v>
      </c>
      <c r="D160" s="150" t="s">
        <v>277</v>
      </c>
      <c r="E160" s="150" t="s">
        <v>277</v>
      </c>
      <c r="F160" s="150" t="s">
        <v>277</v>
      </c>
      <c r="G160" s="150" t="s">
        <v>277</v>
      </c>
      <c r="J160" s="137" t="s">
        <v>292</v>
      </c>
      <c r="K160" s="134" t="s">
        <v>293</v>
      </c>
      <c r="L160" s="134" t="s">
        <v>277</v>
      </c>
      <c r="M160" s="134" t="s">
        <v>277</v>
      </c>
      <c r="N160" s="134" t="s">
        <v>277</v>
      </c>
      <c r="O160" s="134" t="s">
        <v>277</v>
      </c>
      <c r="P160" s="134" t="s">
        <v>277</v>
      </c>
      <c r="R160" s="134"/>
    </row>
    <row r="161" spans="1:23" hidden="1">
      <c r="R161" s="134"/>
    </row>
    <row r="162" spans="1:23" ht="15" thickBot="1">
      <c r="A162" s="151" t="s">
        <v>300</v>
      </c>
      <c r="J162" s="134" t="str">
        <f>"Comparison between ADV fossil and "&amp;A162</f>
        <v>Comparison between ADV fossil and IGCC lignite CCS pre combustion.</v>
      </c>
      <c r="R162" s="134"/>
      <c r="S162" s="134" t="s">
        <v>327</v>
      </c>
    </row>
    <row r="163" spans="1:23" ht="15" thickBot="1">
      <c r="A163" s="135"/>
      <c r="B163" s="136" t="s">
        <v>46</v>
      </c>
      <c r="C163" s="136">
        <v>2013</v>
      </c>
      <c r="D163" s="136">
        <v>2020</v>
      </c>
      <c r="E163" s="136">
        <v>2030</v>
      </c>
      <c r="F163" s="136">
        <v>2040</v>
      </c>
      <c r="G163" s="136">
        <v>2050</v>
      </c>
      <c r="J163" s="137"/>
      <c r="K163" s="137" t="s">
        <v>46</v>
      </c>
      <c r="L163" s="137">
        <v>2013</v>
      </c>
      <c r="M163" s="137">
        <v>2020</v>
      </c>
      <c r="N163" s="137">
        <v>2030</v>
      </c>
      <c r="O163" s="137">
        <v>2040</v>
      </c>
      <c r="P163" s="137">
        <v>2050</v>
      </c>
      <c r="R163" s="134"/>
      <c r="S163" s="137">
        <v>2013</v>
      </c>
      <c r="T163" s="137">
        <v>2020</v>
      </c>
      <c r="U163" s="137">
        <v>2030</v>
      </c>
      <c r="V163" s="137">
        <v>2040</v>
      </c>
      <c r="W163" s="137">
        <v>2050</v>
      </c>
    </row>
    <row r="164" spans="1:23" ht="15.6" thickTop="1" thickBot="1">
      <c r="A164" s="378" t="s">
        <v>257</v>
      </c>
      <c r="B164" s="379"/>
      <c r="C164" s="379"/>
      <c r="D164" s="379"/>
      <c r="E164" s="379"/>
      <c r="F164" s="379"/>
      <c r="G164" s="380"/>
      <c r="J164" s="137" t="s">
        <v>257</v>
      </c>
      <c r="R164" s="134"/>
    </row>
    <row r="165" spans="1:23" ht="15" thickBot="1">
      <c r="A165" s="138" t="s">
        <v>258</v>
      </c>
      <c r="B165" s="139" t="s">
        <v>189</v>
      </c>
      <c r="C165" s="140">
        <v>510</v>
      </c>
      <c r="D165" s="140">
        <v>510</v>
      </c>
      <c r="E165" s="140">
        <v>510</v>
      </c>
      <c r="F165" s="140">
        <v>510</v>
      </c>
      <c r="G165" s="140">
        <v>510</v>
      </c>
      <c r="J165" s="137" t="s">
        <v>258</v>
      </c>
      <c r="K165" s="134" t="s">
        <v>189</v>
      </c>
      <c r="R165" s="134"/>
    </row>
    <row r="166" spans="1:23" ht="15" thickBot="1">
      <c r="A166" s="138" t="s">
        <v>259</v>
      </c>
      <c r="B166" s="141" t="s">
        <v>189</v>
      </c>
      <c r="C166" s="142">
        <v>700</v>
      </c>
      <c r="D166" s="142">
        <v>700</v>
      </c>
      <c r="E166" s="142">
        <v>700</v>
      </c>
      <c r="F166" s="142">
        <v>700</v>
      </c>
      <c r="G166" s="142">
        <v>700</v>
      </c>
      <c r="J166" s="137" t="s">
        <v>259</v>
      </c>
      <c r="K166" s="134" t="s">
        <v>189</v>
      </c>
      <c r="R166" s="134"/>
    </row>
    <row r="167" spans="1:23" ht="15" thickBot="1">
      <c r="A167" s="138" t="s">
        <v>260</v>
      </c>
      <c r="B167" s="143" t="s">
        <v>189</v>
      </c>
      <c r="C167" s="144">
        <v>1460</v>
      </c>
      <c r="D167" s="144">
        <v>1380</v>
      </c>
      <c r="E167" s="144">
        <v>1280</v>
      </c>
      <c r="F167" s="144">
        <v>1250</v>
      </c>
      <c r="G167" s="144">
        <v>1250</v>
      </c>
      <c r="J167" s="137" t="s">
        <v>260</v>
      </c>
      <c r="K167" s="134" t="s">
        <v>189</v>
      </c>
      <c r="R167" s="134"/>
    </row>
    <row r="168" spans="1:23" ht="15" thickBot="1">
      <c r="A168" s="138" t="s">
        <v>261</v>
      </c>
      <c r="B168" s="141" t="s">
        <v>262</v>
      </c>
      <c r="C168" s="142">
        <v>90</v>
      </c>
      <c r="D168" s="142">
        <v>90</v>
      </c>
      <c r="E168" s="142">
        <v>90</v>
      </c>
      <c r="F168" s="142">
        <v>90</v>
      </c>
      <c r="G168" s="142">
        <v>90</v>
      </c>
      <c r="J168" s="137" t="s">
        <v>261</v>
      </c>
      <c r="K168" s="134" t="s">
        <v>262</v>
      </c>
      <c r="L168" s="134">
        <f>C168-'Adv fossil'!C195</f>
        <v>0</v>
      </c>
      <c r="M168" s="134">
        <f>D168-'Adv fossil'!D195</f>
        <v>0</v>
      </c>
      <c r="N168" s="134">
        <f>E168-'Adv fossil'!E195</f>
        <v>0</v>
      </c>
      <c r="O168" s="134">
        <f>F168-'Adv fossil'!F195</f>
        <v>0</v>
      </c>
      <c r="P168" s="134">
        <f>G168-'Adv fossil'!G195</f>
        <v>0</v>
      </c>
      <c r="R168" s="134"/>
    </row>
    <row r="169" spans="1:23" ht="15" thickBot="1">
      <c r="A169" s="138" t="s">
        <v>263</v>
      </c>
      <c r="B169" s="143" t="s">
        <v>262</v>
      </c>
      <c r="C169" s="144">
        <v>85</v>
      </c>
      <c r="D169" s="144">
        <v>85</v>
      </c>
      <c r="E169" s="144">
        <v>85</v>
      </c>
      <c r="F169" s="144">
        <v>85</v>
      </c>
      <c r="G169" s="144">
        <v>85</v>
      </c>
      <c r="J169" s="137" t="s">
        <v>263</v>
      </c>
      <c r="K169" s="134" t="s">
        <v>262</v>
      </c>
      <c r="L169" s="134">
        <f>C169-'Adv fossil'!C196</f>
        <v>0</v>
      </c>
      <c r="M169" s="134">
        <f>D169-'Adv fossil'!D196</f>
        <v>0</v>
      </c>
      <c r="N169" s="134">
        <f>E169-'Adv fossil'!E196</f>
        <v>0</v>
      </c>
      <c r="O169" s="134">
        <f>F169-'Adv fossil'!F196</f>
        <v>0</v>
      </c>
      <c r="P169" s="134">
        <f>G169-'Adv fossil'!G196</f>
        <v>0</v>
      </c>
      <c r="R169" s="134"/>
    </row>
    <row r="170" spans="1:23" ht="15" thickBot="1">
      <c r="A170" s="138" t="s">
        <v>264</v>
      </c>
      <c r="B170" s="141" t="s">
        <v>265</v>
      </c>
      <c r="C170" s="142">
        <v>35</v>
      </c>
      <c r="D170" s="142">
        <v>35</v>
      </c>
      <c r="E170" s="142">
        <v>35</v>
      </c>
      <c r="F170" s="142">
        <v>35</v>
      </c>
      <c r="G170" s="142">
        <v>35</v>
      </c>
      <c r="J170" s="137" t="s">
        <v>264</v>
      </c>
      <c r="K170" s="134" t="s">
        <v>265</v>
      </c>
      <c r="L170" s="134">
        <f>C170-'Adv fossil'!C197</f>
        <v>0</v>
      </c>
      <c r="M170" s="134">
        <f>D170-'Adv fossil'!D197</f>
        <v>0</v>
      </c>
      <c r="N170" s="134">
        <f>E170-'Adv fossil'!E197</f>
        <v>0</v>
      </c>
      <c r="O170" s="134">
        <f>F170-'Adv fossil'!F197</f>
        <v>0</v>
      </c>
      <c r="P170" s="134">
        <f>G170-'Adv fossil'!G197</f>
        <v>0</v>
      </c>
      <c r="R170" s="134"/>
    </row>
    <row r="171" spans="1:23" ht="15" thickBot="1">
      <c r="A171" s="138" t="s">
        <v>266</v>
      </c>
      <c r="B171" s="143" t="s">
        <v>262</v>
      </c>
      <c r="C171" s="144">
        <v>35</v>
      </c>
      <c r="D171" s="144">
        <v>37</v>
      </c>
      <c r="E171" s="144">
        <v>40</v>
      </c>
      <c r="F171" s="144">
        <v>41</v>
      </c>
      <c r="G171" s="144">
        <v>41</v>
      </c>
      <c r="J171" s="137" t="s">
        <v>266</v>
      </c>
      <c r="K171" s="134" t="s">
        <v>262</v>
      </c>
      <c r="L171" s="134">
        <f>C171-'Adv fossil'!C198</f>
        <v>-8</v>
      </c>
      <c r="M171" s="134">
        <f>D171-'Adv fossil'!D198</f>
        <v>-8</v>
      </c>
      <c r="N171" s="134">
        <f>E171-'Adv fossil'!E198</f>
        <v>-6</v>
      </c>
      <c r="O171" s="134">
        <f>F171-'Adv fossil'!F198</f>
        <v>-6</v>
      </c>
      <c r="P171" s="134">
        <f>G171-'Adv fossil'!G198</f>
        <v>-6</v>
      </c>
      <c r="R171" s="134" t="s">
        <v>328</v>
      </c>
      <c r="S171" s="134">
        <f>-L171+C171</f>
        <v>43</v>
      </c>
      <c r="T171" s="134">
        <f t="shared" ref="T171" si="36">-M171+D171</f>
        <v>45</v>
      </c>
      <c r="U171" s="134">
        <f t="shared" ref="U171" si="37">-N171+E171</f>
        <v>46</v>
      </c>
      <c r="V171" s="134">
        <f t="shared" ref="V171" si="38">-O171+F171</f>
        <v>47</v>
      </c>
      <c r="W171" s="134">
        <f t="shared" ref="W171" si="39">-P171+G171</f>
        <v>47</v>
      </c>
    </row>
    <row r="172" spans="1:23" ht="27" thickBot="1">
      <c r="A172" s="138" t="s">
        <v>267</v>
      </c>
      <c r="B172" s="141" t="s">
        <v>262</v>
      </c>
      <c r="C172" s="142">
        <v>8</v>
      </c>
      <c r="D172" s="142">
        <v>8</v>
      </c>
      <c r="E172" s="142">
        <v>6</v>
      </c>
      <c r="F172" s="142">
        <v>6</v>
      </c>
      <c r="G172" s="142">
        <v>6</v>
      </c>
      <c r="J172" s="137" t="s">
        <v>267</v>
      </c>
      <c r="K172" s="134" t="s">
        <v>262</v>
      </c>
      <c r="L172" s="134">
        <f>C172</f>
        <v>8</v>
      </c>
      <c r="M172" s="134">
        <f>D172</f>
        <v>8</v>
      </c>
      <c r="N172" s="134">
        <f>E172</f>
        <v>6</v>
      </c>
      <c r="O172" s="134">
        <f>F172</f>
        <v>6</v>
      </c>
      <c r="P172" s="134">
        <f>G172</f>
        <v>6</v>
      </c>
      <c r="R172" s="134" t="s">
        <v>329</v>
      </c>
      <c r="S172" s="134">
        <f>L172</f>
        <v>8</v>
      </c>
      <c r="T172" s="134">
        <f t="shared" ref="T172" si="40">M172</f>
        <v>8</v>
      </c>
      <c r="U172" s="134">
        <f t="shared" ref="U172" si="41">N172</f>
        <v>6</v>
      </c>
      <c r="V172" s="134">
        <f t="shared" ref="V172" si="42">O172</f>
        <v>6</v>
      </c>
      <c r="W172" s="134">
        <f t="shared" ref="W172" si="43">P172</f>
        <v>6</v>
      </c>
    </row>
    <row r="173" spans="1:23" ht="29.4" thickBot="1">
      <c r="A173" s="138" t="s">
        <v>268</v>
      </c>
      <c r="B173" s="143" t="s">
        <v>262</v>
      </c>
      <c r="C173" s="144">
        <v>89</v>
      </c>
      <c r="D173" s="144">
        <v>89</v>
      </c>
      <c r="E173" s="144">
        <v>89</v>
      </c>
      <c r="F173" s="144">
        <v>89</v>
      </c>
      <c r="G173" s="144">
        <v>89</v>
      </c>
      <c r="J173" s="137" t="s">
        <v>268</v>
      </c>
      <c r="K173" s="134" t="s">
        <v>262</v>
      </c>
      <c r="R173" s="134" t="s">
        <v>330</v>
      </c>
      <c r="S173" s="134">
        <f>S172/S171</f>
        <v>0.18604651162790697</v>
      </c>
      <c r="T173" s="134">
        <f t="shared" ref="T173" si="44">T172/T171</f>
        <v>0.17777777777777778</v>
      </c>
      <c r="U173" s="134">
        <f t="shared" ref="U173" si="45">U172/U171</f>
        <v>0.13043478260869565</v>
      </c>
      <c r="V173" s="134">
        <f t="shared" ref="V173" si="46">V172/V171</f>
        <v>0.1276595744680851</v>
      </c>
      <c r="W173" s="134">
        <f t="shared" ref="W173" si="47">W172/W171</f>
        <v>0.1276595744680851</v>
      </c>
    </row>
    <row r="174" spans="1:23" ht="15" thickBot="1">
      <c r="A174" s="381" t="s">
        <v>269</v>
      </c>
      <c r="B174" s="382"/>
      <c r="C174" s="382"/>
      <c r="D174" s="382"/>
      <c r="E174" s="382"/>
      <c r="F174" s="382"/>
      <c r="G174" s="383"/>
      <c r="J174" s="137" t="s">
        <v>269</v>
      </c>
      <c r="K174" s="137"/>
      <c r="L174" s="137"/>
      <c r="M174" s="137"/>
      <c r="N174" s="137"/>
      <c r="O174" s="137"/>
      <c r="P174" s="137"/>
      <c r="R174" s="134"/>
    </row>
    <row r="175" spans="1:23" ht="16.2" thickBot="1">
      <c r="A175" s="138" t="s">
        <v>270</v>
      </c>
      <c r="B175" s="139" t="s">
        <v>271</v>
      </c>
      <c r="C175" s="140">
        <v>4500</v>
      </c>
      <c r="D175" s="140">
        <v>4370</v>
      </c>
      <c r="E175" s="140">
        <v>4370</v>
      </c>
      <c r="F175" s="140">
        <v>4370</v>
      </c>
      <c r="G175" s="140">
        <v>4370</v>
      </c>
      <c r="J175" s="137" t="s">
        <v>270</v>
      </c>
      <c r="K175" s="134" t="s">
        <v>271</v>
      </c>
      <c r="L175" s="145">
        <f>C175-'Adv fossil'!C200</f>
        <v>1400</v>
      </c>
      <c r="M175" s="145">
        <f>D175-'Adv fossil'!D200</f>
        <v>1370</v>
      </c>
      <c r="N175" s="145">
        <f>E175-'Adv fossil'!E200</f>
        <v>1370</v>
      </c>
      <c r="O175" s="145">
        <f>F175-'Adv fossil'!F200</f>
        <v>1370</v>
      </c>
      <c r="P175" s="145">
        <f>G175-'Adv fossil'!G200</f>
        <v>1370</v>
      </c>
      <c r="R175" s="134"/>
    </row>
    <row r="176" spans="1:23" ht="16.2" thickBot="1">
      <c r="A176" s="138" t="s">
        <v>272</v>
      </c>
      <c r="B176" s="141" t="s">
        <v>271</v>
      </c>
      <c r="C176" s="142">
        <v>3950</v>
      </c>
      <c r="D176" s="142">
        <v>3820</v>
      </c>
      <c r="E176" s="142">
        <v>3820</v>
      </c>
      <c r="F176" s="142">
        <v>3820</v>
      </c>
      <c r="G176" s="142">
        <v>3820</v>
      </c>
      <c r="J176" s="137" t="s">
        <v>272</v>
      </c>
      <c r="K176" s="134" t="s">
        <v>271</v>
      </c>
      <c r="L176" s="145">
        <f>C176-'Adv fossil'!C201</f>
        <v>1300</v>
      </c>
      <c r="M176" s="145">
        <f>D176-'Adv fossil'!D201</f>
        <v>1220</v>
      </c>
      <c r="N176" s="145">
        <f>E176-'Adv fossil'!E201</f>
        <v>1220</v>
      </c>
      <c r="O176" s="145">
        <f>F176-'Adv fossil'!F201</f>
        <v>1220</v>
      </c>
      <c r="P176" s="145">
        <f>G176-'Adv fossil'!G201</f>
        <v>1220</v>
      </c>
      <c r="R176" s="134"/>
    </row>
    <row r="177" spans="1:18" ht="16.2" thickBot="1">
      <c r="A177" s="138" t="s">
        <v>273</v>
      </c>
      <c r="B177" s="143" t="s">
        <v>271</v>
      </c>
      <c r="C177" s="144">
        <v>5000</v>
      </c>
      <c r="D177" s="144">
        <v>4850</v>
      </c>
      <c r="E177" s="144">
        <v>4850</v>
      </c>
      <c r="F177" s="144">
        <v>4850</v>
      </c>
      <c r="G177" s="144">
        <v>4850</v>
      </c>
      <c r="J177" s="137" t="s">
        <v>273</v>
      </c>
      <c r="K177" s="134" t="s">
        <v>271</v>
      </c>
      <c r="L177" s="145">
        <f>C177-'Adv fossil'!C202</f>
        <v>1650</v>
      </c>
      <c r="M177" s="145">
        <f>D177-'Adv fossil'!D202</f>
        <v>1600</v>
      </c>
      <c r="N177" s="145">
        <f>E177-'Adv fossil'!E202</f>
        <v>1600</v>
      </c>
      <c r="O177" s="145">
        <f>F177-'Adv fossil'!F202</f>
        <v>1600</v>
      </c>
      <c r="P177" s="145">
        <f>G177-'Adv fossil'!G202</f>
        <v>1600</v>
      </c>
      <c r="R177" s="134"/>
    </row>
    <row r="178" spans="1:18" ht="27" thickBot="1">
      <c r="A178" s="138" t="s">
        <v>274</v>
      </c>
      <c r="B178" s="141"/>
      <c r="C178" s="384" t="s">
        <v>275</v>
      </c>
      <c r="D178" s="385"/>
      <c r="E178" s="385"/>
      <c r="F178" s="385"/>
      <c r="G178" s="386"/>
      <c r="J178" s="137" t="s">
        <v>274</v>
      </c>
      <c r="L178" s="134" t="s">
        <v>275</v>
      </c>
      <c r="R178" s="134"/>
    </row>
    <row r="179" spans="1:18" ht="15" thickBot="1">
      <c r="A179" s="138" t="s">
        <v>276</v>
      </c>
      <c r="B179" s="143" t="s">
        <v>262</v>
      </c>
      <c r="C179" s="144" t="s">
        <v>277</v>
      </c>
      <c r="D179" s="144" t="s">
        <v>277</v>
      </c>
      <c r="E179" s="144" t="s">
        <v>277</v>
      </c>
      <c r="F179" s="144" t="s">
        <v>277</v>
      </c>
      <c r="G179" s="144" t="s">
        <v>277</v>
      </c>
      <c r="J179" s="137" t="s">
        <v>276</v>
      </c>
      <c r="K179" s="134" t="s">
        <v>262</v>
      </c>
      <c r="L179" s="134" t="s">
        <v>277</v>
      </c>
      <c r="M179" s="134" t="s">
        <v>277</v>
      </c>
      <c r="N179" s="134" t="s">
        <v>277</v>
      </c>
      <c r="O179" s="134" t="s">
        <v>277</v>
      </c>
      <c r="P179" s="134" t="s">
        <v>277</v>
      </c>
      <c r="R179" s="134"/>
    </row>
    <row r="180" spans="1:18" ht="27" thickBot="1">
      <c r="A180" s="138" t="s">
        <v>278</v>
      </c>
      <c r="B180" s="141" t="s">
        <v>279</v>
      </c>
      <c r="C180" s="142">
        <v>2.2999999999999998</v>
      </c>
      <c r="D180" s="142">
        <v>2.2999999999999998</v>
      </c>
      <c r="E180" s="142">
        <v>2.2999999999999998</v>
      </c>
      <c r="F180" s="142">
        <v>2.2999999999999998</v>
      </c>
      <c r="G180" s="142">
        <v>2.2999999999999998</v>
      </c>
      <c r="J180" s="137" t="s">
        <v>278</v>
      </c>
      <c r="K180" s="146" t="s">
        <v>279</v>
      </c>
      <c r="L180" s="147">
        <f>C180</f>
        <v>2.2999999999999998</v>
      </c>
      <c r="M180" s="147">
        <f t="shared" ref="M180" si="48">D180</f>
        <v>2.2999999999999998</v>
      </c>
      <c r="N180" s="147">
        <f t="shared" ref="N180" si="49">E180</f>
        <v>2.2999999999999998</v>
      </c>
      <c r="O180" s="147">
        <f t="shared" ref="O180" si="50">F180</f>
        <v>2.2999999999999998</v>
      </c>
      <c r="P180" s="147">
        <f t="shared" ref="P180" si="51">G180</f>
        <v>2.2999999999999998</v>
      </c>
      <c r="R180" s="134"/>
    </row>
    <row r="181" spans="1:18" ht="16.2" thickBot="1">
      <c r="A181" s="138" t="s">
        <v>280</v>
      </c>
      <c r="B181" s="143" t="s">
        <v>281</v>
      </c>
      <c r="C181" s="144">
        <v>8</v>
      </c>
      <c r="D181" s="144">
        <v>8</v>
      </c>
      <c r="E181" s="144">
        <v>8</v>
      </c>
      <c r="F181" s="144">
        <v>8</v>
      </c>
      <c r="G181" s="144">
        <v>8</v>
      </c>
      <c r="J181" s="137" t="s">
        <v>280</v>
      </c>
      <c r="K181" s="134" t="s">
        <v>281</v>
      </c>
      <c r="L181" s="145">
        <f>C181-'Adv fossil'!C206</f>
        <v>1</v>
      </c>
      <c r="M181" s="145">
        <f>D181-'Adv fossil'!D206</f>
        <v>1</v>
      </c>
      <c r="N181" s="145">
        <f>E181-'Adv fossil'!E206</f>
        <v>1</v>
      </c>
      <c r="O181" s="145">
        <f>F181-'Adv fossil'!F206</f>
        <v>1</v>
      </c>
      <c r="P181" s="145">
        <f>G181-'Adv fossil'!G206</f>
        <v>1</v>
      </c>
      <c r="R181" s="134"/>
    </row>
    <row r="182" spans="1:18" ht="29.4" thickBot="1">
      <c r="A182" s="138" t="s">
        <v>301</v>
      </c>
      <c r="B182" s="141" t="s">
        <v>281</v>
      </c>
      <c r="C182" s="142">
        <v>8</v>
      </c>
      <c r="D182" s="142" t="s">
        <v>277</v>
      </c>
      <c r="E182" s="142" t="s">
        <v>277</v>
      </c>
      <c r="F182" s="142" t="s">
        <v>277</v>
      </c>
      <c r="G182" s="142" t="s">
        <v>277</v>
      </c>
      <c r="J182" s="137" t="s">
        <v>282</v>
      </c>
      <c r="K182" s="134" t="s">
        <v>281</v>
      </c>
      <c r="R182" s="134"/>
    </row>
    <row r="183" spans="1:18" ht="15" thickBot="1">
      <c r="A183" s="138" t="s">
        <v>283</v>
      </c>
      <c r="B183" s="143">
        <v>1</v>
      </c>
      <c r="C183" s="144">
        <v>400</v>
      </c>
      <c r="D183" s="144">
        <v>400</v>
      </c>
      <c r="E183" s="144">
        <v>400</v>
      </c>
      <c r="F183" s="144">
        <v>400</v>
      </c>
      <c r="G183" s="144">
        <v>400</v>
      </c>
      <c r="J183" s="137" t="s">
        <v>283</v>
      </c>
      <c r="R183" s="134"/>
    </row>
    <row r="184" spans="1:18" ht="15" thickBot="1">
      <c r="A184" s="381" t="s">
        <v>284</v>
      </c>
      <c r="B184" s="382"/>
      <c r="C184" s="382"/>
      <c r="D184" s="382"/>
      <c r="E184" s="382"/>
      <c r="F184" s="382"/>
      <c r="G184" s="383"/>
      <c r="J184" s="137" t="s">
        <v>284</v>
      </c>
      <c r="K184" s="137"/>
      <c r="L184" s="137"/>
      <c r="M184" s="137"/>
      <c r="N184" s="137"/>
      <c r="O184" s="137"/>
      <c r="P184" s="137"/>
      <c r="R184" s="134"/>
    </row>
    <row r="185" spans="1:18" ht="29.4" thickBot="1">
      <c r="A185" s="138" t="s">
        <v>285</v>
      </c>
      <c r="B185" s="139" t="s">
        <v>286</v>
      </c>
      <c r="C185" s="140">
        <v>123</v>
      </c>
      <c r="D185" s="140">
        <v>116</v>
      </c>
      <c r="E185" s="140">
        <v>107</v>
      </c>
      <c r="F185" s="140">
        <v>105</v>
      </c>
      <c r="G185" s="140">
        <v>105</v>
      </c>
      <c r="J185" s="137" t="s">
        <v>285</v>
      </c>
      <c r="K185" s="134" t="s">
        <v>286</v>
      </c>
      <c r="R185" s="134"/>
    </row>
    <row r="186" spans="1:18" ht="29.4" thickBot="1">
      <c r="A186" s="138" t="s">
        <v>287</v>
      </c>
      <c r="B186" s="141" t="s">
        <v>286</v>
      </c>
      <c r="C186" s="142">
        <v>104</v>
      </c>
      <c r="D186" s="142">
        <v>98</v>
      </c>
      <c r="E186" s="142">
        <v>90</v>
      </c>
      <c r="F186" s="142">
        <v>88</v>
      </c>
      <c r="G186" s="142">
        <v>88</v>
      </c>
      <c r="J186" s="137" t="s">
        <v>287</v>
      </c>
      <c r="K186" s="134" t="s">
        <v>286</v>
      </c>
      <c r="R186" s="134"/>
    </row>
    <row r="187" spans="1:18" ht="15" thickBot="1">
      <c r="A187" s="138" t="s">
        <v>288</v>
      </c>
      <c r="B187" s="143" t="s">
        <v>289</v>
      </c>
      <c r="C187" s="144">
        <v>1530</v>
      </c>
      <c r="D187" s="144">
        <v>1450</v>
      </c>
      <c r="E187" s="144">
        <v>1340</v>
      </c>
      <c r="F187" s="144">
        <v>1300</v>
      </c>
      <c r="G187" s="144">
        <v>1300</v>
      </c>
      <c r="J187" s="137" t="s">
        <v>288</v>
      </c>
      <c r="K187" s="134" t="s">
        <v>289</v>
      </c>
      <c r="R187" s="134"/>
    </row>
    <row r="188" spans="1:18" ht="15" thickBot="1">
      <c r="A188" s="138" t="s">
        <v>290</v>
      </c>
      <c r="B188" s="141" t="s">
        <v>289</v>
      </c>
      <c r="C188" s="142">
        <v>1900</v>
      </c>
      <c r="D188" s="142">
        <v>1800</v>
      </c>
      <c r="E188" s="142">
        <v>1665</v>
      </c>
      <c r="F188" s="142">
        <v>1620</v>
      </c>
      <c r="G188" s="142">
        <v>1620</v>
      </c>
      <c r="J188" s="137" t="s">
        <v>290</v>
      </c>
      <c r="K188" s="134" t="s">
        <v>289</v>
      </c>
      <c r="R188" s="134"/>
    </row>
    <row r="189" spans="1:18" ht="15" thickBot="1">
      <c r="A189" s="381" t="s">
        <v>291</v>
      </c>
      <c r="B189" s="382"/>
      <c r="C189" s="382"/>
      <c r="D189" s="382"/>
      <c r="E189" s="382"/>
      <c r="F189" s="382"/>
      <c r="G189" s="383"/>
      <c r="J189" s="137" t="s">
        <v>291</v>
      </c>
      <c r="K189" s="137"/>
      <c r="L189" s="137"/>
      <c r="M189" s="137"/>
      <c r="N189" s="137"/>
      <c r="O189" s="137"/>
      <c r="P189" s="137"/>
      <c r="R189" s="134"/>
    </row>
    <row r="190" spans="1:18" ht="15" thickBot="1">
      <c r="A190" s="148" t="s">
        <v>295</v>
      </c>
      <c r="B190" s="149" t="s">
        <v>293</v>
      </c>
      <c r="C190" s="150" t="s">
        <v>277</v>
      </c>
      <c r="D190" s="150" t="s">
        <v>277</v>
      </c>
      <c r="E190" s="150" t="s">
        <v>277</v>
      </c>
      <c r="F190" s="150" t="s">
        <v>277</v>
      </c>
      <c r="G190" s="150" t="s">
        <v>277</v>
      </c>
      <c r="J190" s="137" t="s">
        <v>292</v>
      </c>
      <c r="K190" s="134" t="s">
        <v>293</v>
      </c>
      <c r="L190" s="134" t="s">
        <v>277</v>
      </c>
      <c r="M190" s="134" t="s">
        <v>277</v>
      </c>
      <c r="N190" s="134" t="s">
        <v>277</v>
      </c>
      <c r="O190" s="134" t="s">
        <v>277</v>
      </c>
      <c r="P190" s="134" t="s">
        <v>277</v>
      </c>
      <c r="R190" s="134"/>
    </row>
  </sheetData>
  <mergeCells count="30">
    <mergeCell ref="A13:G13"/>
    <mergeCell ref="A23:G23"/>
    <mergeCell ref="C27:G27"/>
    <mergeCell ref="A33:G33"/>
    <mergeCell ref="A38:G38"/>
    <mergeCell ref="A83:G83"/>
    <mergeCell ref="C87:G87"/>
    <mergeCell ref="A93:G93"/>
    <mergeCell ref="A98:G98"/>
    <mergeCell ref="A43:G43"/>
    <mergeCell ref="A53:G53"/>
    <mergeCell ref="C57:G57"/>
    <mergeCell ref="A63:G63"/>
    <mergeCell ref="A68:G68"/>
    <mergeCell ref="A73:G73"/>
    <mergeCell ref="A103:G103"/>
    <mergeCell ref="A113:G113"/>
    <mergeCell ref="C117:G117"/>
    <mergeCell ref="A189:G189"/>
    <mergeCell ref="A124:G124"/>
    <mergeCell ref="A129:G129"/>
    <mergeCell ref="A134:G134"/>
    <mergeCell ref="A144:G144"/>
    <mergeCell ref="C148:G148"/>
    <mergeCell ref="A154:G154"/>
    <mergeCell ref="A159:G159"/>
    <mergeCell ref="A164:G164"/>
    <mergeCell ref="A174:G174"/>
    <mergeCell ref="C178:G178"/>
    <mergeCell ref="A184:G184"/>
  </mergeCells>
  <pageMargins left="0.7" right="0.7" top="0.75" bottom="0.75" header="0.3" footer="0.3"/>
  <pageSetup orientation="portrait" horizontalDpi="1200" verticalDpi="120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70C0"/>
  </sheetPr>
  <dimension ref="A2:AS292"/>
  <sheetViews>
    <sheetView zoomScale="60" zoomScaleNormal="60" workbookViewId="0">
      <selection activeCell="F17" sqref="F17"/>
    </sheetView>
  </sheetViews>
  <sheetFormatPr defaultColWidth="8.88671875" defaultRowHeight="14.4"/>
  <cols>
    <col min="1" max="1" width="12.44140625" style="197" bestFit="1" customWidth="1"/>
    <col min="2" max="2" width="19.5546875" style="197" customWidth="1"/>
    <col min="3" max="3" width="18" style="197" customWidth="1"/>
    <col min="4" max="4" width="32.109375" style="197" customWidth="1"/>
    <col min="5" max="5" width="32.6640625" style="197" customWidth="1"/>
    <col min="6" max="6" width="17.33203125" style="197" customWidth="1"/>
    <col min="7" max="7" width="31.5546875" style="197" customWidth="1"/>
    <col min="8" max="8" width="13.88671875" style="197" bestFit="1" customWidth="1"/>
    <col min="9" max="9" width="48.109375" style="197" customWidth="1"/>
    <col min="10" max="10" width="15.6640625" style="197" customWidth="1"/>
    <col min="11" max="11" width="17.44140625" style="197" customWidth="1"/>
    <col min="12" max="12" width="8.88671875" style="197"/>
    <col min="13" max="13" width="10.6640625" style="197" customWidth="1"/>
    <col min="14" max="14" width="10.33203125" style="197" customWidth="1"/>
    <col min="15" max="16" width="8.88671875" style="197"/>
    <col min="17" max="17" width="12.44140625" style="197" customWidth="1"/>
    <col min="18" max="28" width="8.88671875" style="197"/>
    <col min="29" max="29" width="12.6640625" style="197" customWidth="1"/>
    <col min="30" max="30" width="16.6640625" style="197" customWidth="1"/>
    <col min="31" max="31" width="19.33203125" style="197" bestFit="1" customWidth="1"/>
    <col min="32" max="34" width="8.88671875" style="197"/>
    <col min="35" max="35" width="15.5546875" style="197" bestFit="1" customWidth="1"/>
    <col min="36" max="37" width="8.88671875" style="197"/>
    <col min="38" max="38" width="11.6640625" style="197" bestFit="1" customWidth="1"/>
    <col min="39" max="48" width="8.88671875" style="197"/>
    <col min="49" max="49" width="9.5546875" style="197" bestFit="1" customWidth="1"/>
    <col min="50" max="16384" width="8.88671875" style="197"/>
  </cols>
  <sheetData>
    <row r="2" spans="2:10">
      <c r="B2" s="197" t="s">
        <v>441</v>
      </c>
    </row>
    <row r="3" spans="2:10">
      <c r="B3" s="197" t="s">
        <v>442</v>
      </c>
      <c r="H3" s="197" t="s">
        <v>443</v>
      </c>
      <c r="I3" s="197" t="s">
        <v>444</v>
      </c>
    </row>
    <row r="4" spans="2:10">
      <c r="B4" s="197" t="s">
        <v>445</v>
      </c>
      <c r="I4" s="197" t="s">
        <v>446</v>
      </c>
      <c r="J4" s="197" t="s">
        <v>447</v>
      </c>
    </row>
    <row r="5" spans="2:10">
      <c r="I5" s="197" t="s">
        <v>448</v>
      </c>
      <c r="J5" s="197" t="s">
        <v>449</v>
      </c>
    </row>
    <row r="9" spans="2:10">
      <c r="E9" s="199" t="s">
        <v>450</v>
      </c>
    </row>
    <row r="12" spans="2:10">
      <c r="E12" s="201" t="s">
        <v>451</v>
      </c>
      <c r="F12" s="199" t="s">
        <v>452</v>
      </c>
      <c r="G12" s="199" t="s">
        <v>152</v>
      </c>
      <c r="H12" s="199" t="s">
        <v>453</v>
      </c>
    </row>
    <row r="13" spans="2:10">
      <c r="E13" s="197" t="str">
        <f>F13&amp;G13</f>
        <v>DK1DTS</v>
      </c>
      <c r="F13" s="199" t="s">
        <v>454</v>
      </c>
      <c r="G13" s="199" t="s">
        <v>455</v>
      </c>
      <c r="H13" s="197">
        <v>80</v>
      </c>
    </row>
    <row r="14" spans="2:10">
      <c r="E14" s="197" t="str">
        <f t="shared" ref="E14:E15" si="0">F14&amp;G14</f>
        <v>DK1DGS</v>
      </c>
      <c r="F14" s="199" t="s">
        <v>454</v>
      </c>
      <c r="G14" s="199" t="s">
        <v>456</v>
      </c>
      <c r="H14" s="197">
        <v>65</v>
      </c>
    </row>
    <row r="15" spans="2:10">
      <c r="E15" s="197" t="str">
        <f t="shared" si="0"/>
        <v>DK1DGA</v>
      </c>
      <c r="F15" s="199" t="s">
        <v>454</v>
      </c>
      <c r="G15" s="199" t="s">
        <v>457</v>
      </c>
      <c r="H15" s="197">
        <v>100</v>
      </c>
    </row>
    <row r="16" spans="2:10">
      <c r="E16" s="197" t="str">
        <f t="shared" ref="E16:E41" si="1">F16&amp;G16</f>
        <v>DK1NSF</v>
      </c>
      <c r="F16" s="199" t="s">
        <v>454</v>
      </c>
      <c r="G16" s="200" t="s">
        <v>458</v>
      </c>
      <c r="H16" s="197">
        <v>500</v>
      </c>
    </row>
    <row r="17" spans="2:10">
      <c r="B17" s="197" t="s">
        <v>459</v>
      </c>
      <c r="E17" s="197" t="str">
        <f t="shared" si="1"/>
        <v>DK1DHF</v>
      </c>
      <c r="F17" s="197" t="s">
        <v>454</v>
      </c>
      <c r="G17" s="197" t="s">
        <v>492</v>
      </c>
      <c r="H17" s="197">
        <v>200</v>
      </c>
    </row>
    <row r="18" spans="2:10">
      <c r="E18" s="197" t="str">
        <f t="shared" si="1"/>
        <v>DK2DZS</v>
      </c>
      <c r="F18" s="201" t="s">
        <v>460</v>
      </c>
      <c r="G18" s="199" t="s">
        <v>461</v>
      </c>
      <c r="H18" s="197">
        <v>60</v>
      </c>
    </row>
    <row r="19" spans="2:10">
      <c r="E19" s="197" t="str">
        <f t="shared" si="1"/>
        <v>DK2NSF</v>
      </c>
      <c r="F19" s="199" t="s">
        <v>460</v>
      </c>
      <c r="G19" s="200" t="s">
        <v>458</v>
      </c>
      <c r="H19" s="197">
        <v>900</v>
      </c>
    </row>
    <row r="20" spans="2:10">
      <c r="E20" s="197" t="str">
        <f t="shared" si="1"/>
        <v>DK2SAA</v>
      </c>
      <c r="F20" s="199" t="s">
        <v>460</v>
      </c>
      <c r="G20" s="199" t="s">
        <v>462</v>
      </c>
      <c r="H20" s="197">
        <v>40</v>
      </c>
    </row>
    <row r="21" spans="2:10">
      <c r="E21" s="197" t="str">
        <f t="shared" si="1"/>
        <v>DK2DHF</v>
      </c>
      <c r="F21" s="197" t="s">
        <v>460</v>
      </c>
      <c r="G21" s="197" t="s">
        <v>492</v>
      </c>
      <c r="H21" s="197">
        <v>400</v>
      </c>
      <c r="J21" s="201"/>
    </row>
    <row r="22" spans="2:10">
      <c r="E22" s="197" t="str">
        <f t="shared" si="1"/>
        <v>SE1SFA</v>
      </c>
      <c r="F22" s="199" t="s">
        <v>463</v>
      </c>
      <c r="G22" s="199" t="s">
        <v>464</v>
      </c>
      <c r="H22" s="197">
        <v>1060</v>
      </c>
    </row>
    <row r="23" spans="2:10">
      <c r="E23" s="197" t="str">
        <f t="shared" si="1"/>
        <v>SE1NSF</v>
      </c>
      <c r="F23" s="199" t="s">
        <v>463</v>
      </c>
      <c r="G23" s="200" t="s">
        <v>458</v>
      </c>
      <c r="H23" s="197">
        <v>2400</v>
      </c>
      <c r="J23" s="201"/>
    </row>
    <row r="24" spans="2:10">
      <c r="E24" s="197" t="str">
        <f t="shared" si="1"/>
        <v>SE2SFA</v>
      </c>
      <c r="F24" s="199" t="s">
        <v>465</v>
      </c>
      <c r="G24" s="199" t="s">
        <v>464</v>
      </c>
      <c r="H24" s="197">
        <v>730</v>
      </c>
    </row>
    <row r="25" spans="2:10">
      <c r="E25" s="197" t="str">
        <f t="shared" si="1"/>
        <v>SE2NSF</v>
      </c>
      <c r="F25" s="199" t="s">
        <v>465</v>
      </c>
      <c r="G25" s="200" t="s">
        <v>458</v>
      </c>
      <c r="H25" s="197">
        <v>2000</v>
      </c>
    </row>
    <row r="26" spans="2:10">
      <c r="E26" s="197" t="str">
        <f t="shared" si="1"/>
        <v>SE3SFA</v>
      </c>
      <c r="F26" s="199" t="s">
        <v>466</v>
      </c>
      <c r="G26" s="199" t="s">
        <v>464</v>
      </c>
      <c r="H26" s="197">
        <v>280</v>
      </c>
    </row>
    <row r="27" spans="2:10">
      <c r="E27" s="197" t="str">
        <f t="shared" si="1"/>
        <v>SE3SAA</v>
      </c>
      <c r="F27" s="199" t="s">
        <v>466</v>
      </c>
      <c r="G27" s="201" t="s">
        <v>462</v>
      </c>
      <c r="H27" s="197">
        <v>325</v>
      </c>
    </row>
    <row r="28" spans="2:10">
      <c r="E28" s="197" t="str">
        <f t="shared" si="1"/>
        <v>SE3NSF</v>
      </c>
      <c r="F28" s="199" t="s">
        <v>466</v>
      </c>
      <c r="G28" s="200" t="s">
        <v>458</v>
      </c>
      <c r="H28" s="197">
        <v>615</v>
      </c>
    </row>
    <row r="29" spans="2:10">
      <c r="E29" s="197" t="str">
        <f t="shared" si="1"/>
        <v>SE4DZS</v>
      </c>
      <c r="F29" s="199" t="s">
        <v>467</v>
      </c>
      <c r="G29" s="199" t="s">
        <v>461</v>
      </c>
      <c r="H29" s="197">
        <v>60</v>
      </c>
    </row>
    <row r="30" spans="2:10">
      <c r="E30" s="197" t="str">
        <f t="shared" si="1"/>
        <v>SE4NSF</v>
      </c>
      <c r="F30" s="199" t="s">
        <v>467</v>
      </c>
      <c r="G30" s="200" t="s">
        <v>458</v>
      </c>
      <c r="H30" s="197">
        <v>900</v>
      </c>
    </row>
    <row r="31" spans="2:10">
      <c r="E31" s="197" t="str">
        <f t="shared" si="1"/>
        <v>SE4SAA</v>
      </c>
      <c r="F31" s="199" t="s">
        <v>467</v>
      </c>
      <c r="G31" s="199" t="s">
        <v>462</v>
      </c>
      <c r="H31" s="197">
        <v>40</v>
      </c>
    </row>
    <row r="32" spans="2:10">
      <c r="E32" s="197" t="str">
        <f t="shared" si="1"/>
        <v>NO1DHS</v>
      </c>
      <c r="F32" s="199" t="s">
        <v>468</v>
      </c>
      <c r="G32" s="199" t="s">
        <v>469</v>
      </c>
      <c r="H32" s="197">
        <v>250</v>
      </c>
    </row>
    <row r="33" spans="4:10">
      <c r="E33" s="197" t="str">
        <f t="shared" si="1"/>
        <v>NO1DGA</v>
      </c>
      <c r="F33" s="199" t="s">
        <v>468</v>
      </c>
      <c r="G33" s="199" t="s">
        <v>457</v>
      </c>
      <c r="H33" s="197">
        <v>180</v>
      </c>
    </row>
    <row r="34" spans="4:10">
      <c r="E34" s="197" t="str">
        <f t="shared" si="1"/>
        <v>NO1NSF</v>
      </c>
      <c r="F34" s="199" t="s">
        <v>468</v>
      </c>
      <c r="G34" s="200" t="s">
        <v>458</v>
      </c>
      <c r="H34" s="197">
        <v>550</v>
      </c>
    </row>
    <row r="35" spans="4:10">
      <c r="E35" s="197" t="str">
        <f t="shared" si="1"/>
        <v>NO2NSA</v>
      </c>
      <c r="F35" s="199" t="s">
        <v>470</v>
      </c>
      <c r="G35" s="199" t="s">
        <v>471</v>
      </c>
      <c r="H35" s="197">
        <v>150</v>
      </c>
    </row>
    <row r="36" spans="4:10">
      <c r="E36" s="197" t="str">
        <f t="shared" si="1"/>
        <v>NO2NMF</v>
      </c>
      <c r="F36" s="199" t="s">
        <v>470</v>
      </c>
      <c r="G36" s="199" t="s">
        <v>472</v>
      </c>
      <c r="H36" s="197">
        <v>720</v>
      </c>
    </row>
    <row r="37" spans="4:10">
      <c r="E37" s="197" t="str">
        <f t="shared" si="1"/>
        <v>NO2NSF</v>
      </c>
      <c r="F37" s="199" t="s">
        <v>470</v>
      </c>
      <c r="G37" s="202" t="s">
        <v>458</v>
      </c>
      <c r="H37" s="197">
        <v>150</v>
      </c>
    </row>
    <row r="38" spans="4:10">
      <c r="E38" s="197" t="str">
        <f t="shared" si="1"/>
        <v>NO5NGA</v>
      </c>
      <c r="F38" s="199" t="s">
        <v>473</v>
      </c>
      <c r="G38" s="199" t="s">
        <v>72</v>
      </c>
      <c r="H38" s="197">
        <v>600</v>
      </c>
    </row>
    <row r="39" spans="4:10">
      <c r="E39" s="197" t="str">
        <f t="shared" si="1"/>
        <v>NO5NSA</v>
      </c>
      <c r="F39" s="199" t="s">
        <v>473</v>
      </c>
      <c r="G39" s="199" t="s">
        <v>471</v>
      </c>
      <c r="H39" s="197">
        <v>180</v>
      </c>
    </row>
    <row r="40" spans="4:10">
      <c r="E40" s="197" t="str">
        <f t="shared" si="1"/>
        <v>NO5NSF</v>
      </c>
      <c r="F40" s="199" t="s">
        <v>473</v>
      </c>
      <c r="G40" s="199" t="s">
        <v>458</v>
      </c>
      <c r="H40" s="197">
        <v>180</v>
      </c>
    </row>
    <row r="41" spans="4:10">
      <c r="E41" s="197" t="str">
        <f t="shared" si="1"/>
        <v>NO5NMF</v>
      </c>
      <c r="F41" s="199" t="s">
        <v>473</v>
      </c>
      <c r="G41" s="201" t="s">
        <v>472</v>
      </c>
      <c r="H41" s="197">
        <v>600</v>
      </c>
    </row>
    <row r="42" spans="4:10">
      <c r="D42" s="201" t="s">
        <v>475</v>
      </c>
    </row>
    <row r="44" spans="4:10">
      <c r="D44" s="197" t="s">
        <v>476</v>
      </c>
      <c r="E44" s="197" t="s">
        <v>477</v>
      </c>
      <c r="F44" s="199" t="s">
        <v>478</v>
      </c>
      <c r="G44" s="197" t="s">
        <v>479</v>
      </c>
      <c r="H44" s="197" t="s">
        <v>480</v>
      </c>
      <c r="I44" s="197" t="s">
        <v>481</v>
      </c>
    </row>
    <row r="45" spans="4:10">
      <c r="D45" s="197" t="s">
        <v>482</v>
      </c>
      <c r="E45" s="197" t="s">
        <v>483</v>
      </c>
      <c r="F45" s="199" t="s">
        <v>457</v>
      </c>
      <c r="G45" s="197">
        <f>G78</f>
        <v>3.7</v>
      </c>
      <c r="H45" s="197">
        <f t="shared" ref="H45:I45" si="2">H78</f>
        <v>0.6166666666666667</v>
      </c>
      <c r="I45" s="197">
        <f t="shared" si="2"/>
        <v>616.66666666666674</v>
      </c>
      <c r="J45" s="197" t="s">
        <v>446</v>
      </c>
    </row>
    <row r="46" spans="4:10">
      <c r="D46" s="197" t="s">
        <v>484</v>
      </c>
      <c r="E46" s="197" t="s">
        <v>485</v>
      </c>
      <c r="F46" s="199" t="s">
        <v>469</v>
      </c>
      <c r="G46" s="197">
        <f t="shared" ref="G46:I58" si="3">G79</f>
        <v>2.8</v>
      </c>
      <c r="H46" s="197">
        <f t="shared" si="3"/>
        <v>0.46666666666666662</v>
      </c>
      <c r="I46" s="197">
        <f t="shared" si="3"/>
        <v>466.66666666666663</v>
      </c>
      <c r="J46" s="197" t="s">
        <v>446</v>
      </c>
    </row>
    <row r="47" spans="4:10">
      <c r="D47" s="197" t="s">
        <v>484</v>
      </c>
      <c r="E47" s="197" t="s">
        <v>486</v>
      </c>
      <c r="F47" s="199" t="s">
        <v>455</v>
      </c>
      <c r="G47" s="197">
        <f t="shared" si="3"/>
        <v>11</v>
      </c>
      <c r="H47" s="197">
        <f t="shared" si="3"/>
        <v>5.5</v>
      </c>
      <c r="I47" s="197">
        <f t="shared" si="3"/>
        <v>5500</v>
      </c>
      <c r="J47" s="197" t="s">
        <v>443</v>
      </c>
    </row>
    <row r="48" spans="4:10">
      <c r="D48" s="197" t="s">
        <v>484</v>
      </c>
      <c r="E48" s="197" t="s">
        <v>487</v>
      </c>
      <c r="F48" s="199" t="s">
        <v>456</v>
      </c>
      <c r="G48" s="197">
        <f t="shared" si="3"/>
        <v>0.6</v>
      </c>
      <c r="H48" s="197">
        <f t="shared" si="3"/>
        <v>0.3</v>
      </c>
      <c r="I48" s="197">
        <f t="shared" si="3"/>
        <v>300</v>
      </c>
      <c r="J48" s="197" t="s">
        <v>443</v>
      </c>
    </row>
    <row r="49" spans="4:30">
      <c r="D49" s="200" t="s">
        <v>484</v>
      </c>
      <c r="E49" s="200" t="s">
        <v>488</v>
      </c>
      <c r="F49" s="200" t="s">
        <v>489</v>
      </c>
      <c r="G49" s="200">
        <f t="shared" si="3"/>
        <v>0.48</v>
      </c>
      <c r="H49" s="200">
        <f t="shared" si="3"/>
        <v>0.24</v>
      </c>
      <c r="I49" s="200">
        <f t="shared" si="3"/>
        <v>240</v>
      </c>
      <c r="J49" s="200" t="s">
        <v>443</v>
      </c>
    </row>
    <row r="50" spans="4:30">
      <c r="D50" s="197" t="s">
        <v>484</v>
      </c>
      <c r="E50" s="197" t="s">
        <v>490</v>
      </c>
      <c r="F50" s="199" t="s">
        <v>461</v>
      </c>
      <c r="G50" s="197">
        <f t="shared" si="3"/>
        <v>1.1500000000000001</v>
      </c>
      <c r="H50" s="197">
        <f t="shared" si="3"/>
        <v>0.57500000000000007</v>
      </c>
      <c r="I50" s="197">
        <f t="shared" si="3"/>
        <v>575.00000000000011</v>
      </c>
      <c r="J50" s="197" t="s">
        <v>443</v>
      </c>
    </row>
    <row r="51" spans="4:30">
      <c r="D51" s="200" t="s">
        <v>484</v>
      </c>
      <c r="E51" s="200" t="s">
        <v>491</v>
      </c>
      <c r="F51" s="200" t="s">
        <v>492</v>
      </c>
      <c r="G51" s="200">
        <f t="shared" si="3"/>
        <v>2.2000000000000002</v>
      </c>
      <c r="H51" s="200">
        <f t="shared" si="3"/>
        <v>1.1000000000000001</v>
      </c>
      <c r="I51" s="200">
        <f t="shared" si="3"/>
        <v>1100</v>
      </c>
      <c r="J51" s="200" t="s">
        <v>448</v>
      </c>
    </row>
    <row r="52" spans="4:30">
      <c r="D52" s="197" t="s">
        <v>493</v>
      </c>
      <c r="E52" s="197" t="s">
        <v>494</v>
      </c>
      <c r="F52" s="199" t="s">
        <v>471</v>
      </c>
      <c r="G52" s="197">
        <f t="shared" si="3"/>
        <v>41.949999999999996</v>
      </c>
      <c r="H52" s="197">
        <f t="shared" si="3"/>
        <v>6.9916666666666663</v>
      </c>
      <c r="I52" s="197">
        <f t="shared" si="3"/>
        <v>6991.6666666666661</v>
      </c>
      <c r="J52" s="197" t="s">
        <v>446</v>
      </c>
    </row>
    <row r="53" spans="4:30">
      <c r="D53" s="197" t="s">
        <v>493</v>
      </c>
      <c r="E53" s="197" t="s">
        <v>495</v>
      </c>
      <c r="F53" s="199" t="s">
        <v>458</v>
      </c>
      <c r="G53" s="197">
        <f t="shared" si="3"/>
        <v>9</v>
      </c>
      <c r="H53" s="197">
        <f t="shared" si="3"/>
        <v>1.5</v>
      </c>
      <c r="I53" s="197">
        <f t="shared" si="3"/>
        <v>1500</v>
      </c>
      <c r="J53" s="197" t="s">
        <v>448</v>
      </c>
    </row>
    <row r="54" spans="4:30">
      <c r="D54" s="197" t="s">
        <v>493</v>
      </c>
      <c r="E54" s="197" t="s">
        <v>496</v>
      </c>
      <c r="F54" s="199" t="s">
        <v>474</v>
      </c>
      <c r="G54" s="197">
        <f t="shared" si="3"/>
        <v>9</v>
      </c>
      <c r="H54" s="197">
        <f t="shared" si="3"/>
        <v>3</v>
      </c>
      <c r="I54" s="197">
        <f t="shared" si="3"/>
        <v>3000</v>
      </c>
      <c r="J54" s="197" t="s">
        <v>448</v>
      </c>
    </row>
    <row r="55" spans="4:30">
      <c r="D55" s="200" t="s">
        <v>493</v>
      </c>
      <c r="E55" s="200" t="s">
        <v>497</v>
      </c>
      <c r="F55" s="200" t="s">
        <v>498</v>
      </c>
      <c r="G55" s="200">
        <f t="shared" si="3"/>
        <v>9</v>
      </c>
      <c r="H55" s="200">
        <f t="shared" si="3"/>
        <v>3</v>
      </c>
      <c r="I55" s="200">
        <f t="shared" si="3"/>
        <v>3000</v>
      </c>
      <c r="J55" s="200" t="s">
        <v>448</v>
      </c>
    </row>
    <row r="56" spans="4:30">
      <c r="D56" s="197" t="s">
        <v>493</v>
      </c>
      <c r="E56" s="197" t="s">
        <v>499</v>
      </c>
      <c r="F56" s="199" t="s">
        <v>72</v>
      </c>
      <c r="G56" s="197">
        <f t="shared" si="3"/>
        <v>8</v>
      </c>
      <c r="H56" s="197">
        <f t="shared" si="3"/>
        <v>2.6666666666666665</v>
      </c>
      <c r="I56" s="197">
        <f t="shared" si="3"/>
        <v>2666.6666666666665</v>
      </c>
      <c r="J56" s="197" t="s">
        <v>446</v>
      </c>
      <c r="K56" s="203"/>
    </row>
    <row r="57" spans="4:30">
      <c r="D57" s="197" t="s">
        <v>500</v>
      </c>
      <c r="E57" s="197" t="s">
        <v>501</v>
      </c>
      <c r="F57" s="199" t="s">
        <v>462</v>
      </c>
      <c r="G57" s="197">
        <f t="shared" si="3"/>
        <v>1</v>
      </c>
      <c r="H57" s="197">
        <f t="shared" si="3"/>
        <v>0.2</v>
      </c>
      <c r="I57" s="197">
        <f t="shared" si="3"/>
        <v>200</v>
      </c>
      <c r="J57" s="197" t="s">
        <v>446</v>
      </c>
      <c r="K57" s="203"/>
    </row>
    <row r="58" spans="4:30">
      <c r="D58" s="197" t="s">
        <v>500</v>
      </c>
      <c r="E58" s="197" t="s">
        <v>502</v>
      </c>
      <c r="F58" s="199" t="s">
        <v>464</v>
      </c>
      <c r="G58" s="197">
        <f t="shared" si="3"/>
        <v>0.7</v>
      </c>
      <c r="H58" s="197">
        <f t="shared" si="3"/>
        <v>0.13999999999999999</v>
      </c>
      <c r="I58" s="197">
        <f t="shared" si="3"/>
        <v>139.99999999999997</v>
      </c>
      <c r="J58" s="197" t="s">
        <v>446</v>
      </c>
      <c r="K58" s="203"/>
      <c r="AB58" s="204"/>
      <c r="AD58" s="204"/>
    </row>
    <row r="59" spans="4:30">
      <c r="F59" s="203"/>
      <c r="G59" s="203"/>
      <c r="H59" s="203"/>
      <c r="I59" s="203"/>
      <c r="J59" s="203"/>
      <c r="K59" s="203"/>
    </row>
    <row r="60" spans="4:30">
      <c r="F60" s="203"/>
      <c r="G60" s="203"/>
      <c r="H60" s="203"/>
      <c r="I60" s="203"/>
      <c r="J60" s="203"/>
      <c r="K60" s="203"/>
    </row>
    <row r="61" spans="4:30">
      <c r="F61" s="203"/>
      <c r="G61" s="203"/>
      <c r="H61" s="203"/>
      <c r="I61" s="203"/>
      <c r="J61" s="203"/>
      <c r="K61" s="203"/>
    </row>
    <row r="62" spans="4:30">
      <c r="F62" s="203"/>
      <c r="G62" s="203"/>
      <c r="H62" s="203"/>
      <c r="I62" s="203"/>
      <c r="J62" s="203"/>
      <c r="K62" s="203"/>
    </row>
    <row r="63" spans="4:30">
      <c r="F63" s="203"/>
      <c r="G63" s="203"/>
      <c r="H63" s="203"/>
      <c r="I63" s="203"/>
      <c r="J63" s="203"/>
      <c r="K63" s="203"/>
    </row>
    <row r="64" spans="4:30">
      <c r="F64" s="203"/>
      <c r="G64" s="203"/>
      <c r="H64" s="203"/>
      <c r="I64" s="203"/>
      <c r="J64" s="203"/>
      <c r="K64" s="203"/>
    </row>
    <row r="65" spans="2:45">
      <c r="F65" s="203"/>
      <c r="G65" s="203"/>
      <c r="H65" s="203"/>
      <c r="I65" s="203"/>
      <c r="J65" s="203"/>
      <c r="K65" s="203"/>
    </row>
    <row r="66" spans="2:45">
      <c r="F66" s="203"/>
      <c r="G66" s="203"/>
      <c r="H66" s="203"/>
      <c r="I66" s="203"/>
      <c r="J66" s="203"/>
      <c r="K66" s="203"/>
    </row>
    <row r="67" spans="2:45" s="205" customFormat="1" ht="15" thickBot="1"/>
    <row r="69" spans="2:45">
      <c r="B69" s="206" t="s">
        <v>503</v>
      </c>
    </row>
    <row r="73" spans="2:45">
      <c r="AI73" s="197" t="s">
        <v>504</v>
      </c>
    </row>
    <row r="74" spans="2:45">
      <c r="AJ74" s="197" t="s">
        <v>505</v>
      </c>
      <c r="AK74" s="197" t="s">
        <v>506</v>
      </c>
      <c r="AM74" s="197" t="s">
        <v>505</v>
      </c>
      <c r="AN74" s="197" t="s">
        <v>507</v>
      </c>
      <c r="AP74" s="197" t="s">
        <v>508</v>
      </c>
      <c r="AQ74" s="197" t="s">
        <v>507</v>
      </c>
    </row>
    <row r="75" spans="2:45">
      <c r="AD75" s="197" t="s">
        <v>505</v>
      </c>
      <c r="AF75" s="197" t="s">
        <v>508</v>
      </c>
      <c r="AJ75" s="197" t="s">
        <v>509</v>
      </c>
      <c r="AK75" s="197" t="s">
        <v>510</v>
      </c>
      <c r="AL75" s="197" t="s">
        <v>511</v>
      </c>
      <c r="AM75" s="197" t="s">
        <v>512</v>
      </c>
      <c r="AN75" s="197" t="s">
        <v>510</v>
      </c>
      <c r="AO75" s="197" t="s">
        <v>511</v>
      </c>
      <c r="AP75" s="197" t="s">
        <v>512</v>
      </c>
      <c r="AQ75" s="197" t="s">
        <v>510</v>
      </c>
      <c r="AR75" s="197" t="s">
        <v>511</v>
      </c>
      <c r="AS75" s="197" t="s">
        <v>512</v>
      </c>
    </row>
    <row r="76" spans="2:45">
      <c r="AA76" s="197" t="s">
        <v>452</v>
      </c>
      <c r="AC76" s="197" t="s">
        <v>513</v>
      </c>
      <c r="AD76" s="197" t="s">
        <v>514</v>
      </c>
      <c r="AE76" s="197" t="s">
        <v>513</v>
      </c>
      <c r="AF76" s="197" t="s">
        <v>514</v>
      </c>
      <c r="AJ76" s="197" t="s">
        <v>454</v>
      </c>
      <c r="AK76" s="197">
        <f>AC77</f>
        <v>98.333333333333329</v>
      </c>
      <c r="AL76" s="197">
        <f>AC79</f>
        <v>350</v>
      </c>
      <c r="AM76" s="197">
        <f>AC81</f>
        <v>0</v>
      </c>
      <c r="AN76" s="197">
        <f>AC78</f>
        <v>115</v>
      </c>
      <c r="AO76" s="204">
        <f>AC80</f>
        <v>395</v>
      </c>
      <c r="AP76" s="197">
        <f>AC82</f>
        <v>660</v>
      </c>
      <c r="AQ76" s="197">
        <f>AE78</f>
        <v>0</v>
      </c>
      <c r="AR76" s="204">
        <f>AE80</f>
        <v>450</v>
      </c>
      <c r="AS76" s="197">
        <f>AE82</f>
        <v>0</v>
      </c>
    </row>
    <row r="77" spans="2:45">
      <c r="B77" s="197" t="s">
        <v>515</v>
      </c>
      <c r="C77" s="197" t="s">
        <v>516</v>
      </c>
      <c r="D77" s="197" t="s">
        <v>476</v>
      </c>
      <c r="E77" s="197" t="s">
        <v>477</v>
      </c>
      <c r="F77" s="199" t="s">
        <v>478</v>
      </c>
      <c r="G77" s="197" t="s">
        <v>479</v>
      </c>
      <c r="H77" s="197" t="s">
        <v>480</v>
      </c>
      <c r="I77" s="197" t="s">
        <v>481</v>
      </c>
      <c r="L77" s="197" t="s">
        <v>454</v>
      </c>
      <c r="M77" s="197" t="s">
        <v>460</v>
      </c>
      <c r="N77" s="197" t="s">
        <v>468</v>
      </c>
      <c r="O77" s="197" t="s">
        <v>470</v>
      </c>
      <c r="P77" s="197" t="s">
        <v>473</v>
      </c>
      <c r="Q77" s="197" t="s">
        <v>463</v>
      </c>
      <c r="R77" s="197" t="s">
        <v>465</v>
      </c>
      <c r="S77" s="197" t="s">
        <v>466</v>
      </c>
      <c r="T77" s="197" t="s">
        <v>517</v>
      </c>
      <c r="AA77" s="197" t="s">
        <v>454</v>
      </c>
      <c r="AB77" s="197" t="s">
        <v>399</v>
      </c>
      <c r="AC77" s="197">
        <f>IFERROR(AVERAGEIFS($J$100:$J$110,$J$100:$J$110,"&lt;=180",$H$100:$H$110,"=Onshore",$D$100:$D$110,"=Saline"),0)</f>
        <v>98.333333333333329</v>
      </c>
      <c r="AD77" s="197">
        <f>IFERROR(SUMIFS($I$100:$I$110,$J$100:$J$110,"&lt;=180",$H$100:$H$110,"=Onshore",$D$100:$D$110,"=Saline"),0)</f>
        <v>6.04</v>
      </c>
      <c r="AE77" s="197">
        <f>IFERROR(AVERAGEIFS($J$100:$J$110,$J$100:$J$110,"&lt;=180",$H$100:$H$110,"=Onshore",$D$100:$D$110,"=Carbon"),0)</f>
        <v>0</v>
      </c>
      <c r="AF77" s="197">
        <f>IFERROR(SUMIFS($I$100:$I$110,$J$100:$J$110,"&lt;=180",$H$100:$H$110,"=Onshore",$D$100:$D$110,"=Carbon"),0)</f>
        <v>0</v>
      </c>
      <c r="AJ77" s="197" t="s">
        <v>460</v>
      </c>
      <c r="AK77" s="197">
        <f>AC83</f>
        <v>60</v>
      </c>
      <c r="AL77" s="197">
        <f>AC85</f>
        <v>333.33333333333331</v>
      </c>
      <c r="AM77" s="197">
        <f>AC87</f>
        <v>0</v>
      </c>
      <c r="AN77" s="197">
        <f>AC84</f>
        <v>40</v>
      </c>
      <c r="AO77" s="204">
        <f>AC86</f>
        <v>423.33333333333331</v>
      </c>
      <c r="AP77" s="197">
        <f>AC88</f>
        <v>880</v>
      </c>
      <c r="AQ77" s="197">
        <f>AE84</f>
        <v>0</v>
      </c>
      <c r="AR77" s="204">
        <f>AE86</f>
        <v>340</v>
      </c>
      <c r="AS77" s="197">
        <f>AE88</f>
        <v>900</v>
      </c>
    </row>
    <row r="78" spans="2:45">
      <c r="B78" s="197">
        <v>6</v>
      </c>
      <c r="C78" s="197" t="s">
        <v>518</v>
      </c>
      <c r="D78" s="197" t="s">
        <v>482</v>
      </c>
      <c r="E78" s="197" t="s">
        <v>483</v>
      </c>
      <c r="F78" s="199" t="s">
        <v>457</v>
      </c>
      <c r="G78" s="197">
        <f>E272</f>
        <v>3.7</v>
      </c>
      <c r="H78" s="197">
        <f t="shared" ref="H78:H91" si="4">G78/B78</f>
        <v>0.6166666666666667</v>
      </c>
      <c r="I78" s="197">
        <f t="shared" ref="I78:I91" si="5">H78*1000</f>
        <v>616.66666666666674</v>
      </c>
      <c r="J78" s="197" t="s">
        <v>446</v>
      </c>
      <c r="K78" s="197" t="s">
        <v>446</v>
      </c>
      <c r="L78" s="197">
        <f>I78+I79+I85+I90+I91</f>
        <v>8415</v>
      </c>
      <c r="M78" s="197">
        <f>L78</f>
        <v>8415</v>
      </c>
      <c r="N78" s="197">
        <f>I78+I79+I85+I89</f>
        <v>10741.666666666666</v>
      </c>
      <c r="O78" s="197">
        <f>I78+I79+I85+I89</f>
        <v>10741.666666666666</v>
      </c>
      <c r="P78" s="197">
        <f>O78</f>
        <v>10741.666666666666</v>
      </c>
      <c r="Q78" s="197">
        <f>I90+I91</f>
        <v>340</v>
      </c>
      <c r="R78" s="197">
        <f>Q78</f>
        <v>340</v>
      </c>
      <c r="S78" s="197">
        <f>I78+I79+I85+I90+I91</f>
        <v>8415</v>
      </c>
      <c r="T78" s="197">
        <f>SUM(L78:S78)</f>
        <v>58149.999999999993</v>
      </c>
      <c r="AB78" s="197" t="s">
        <v>400</v>
      </c>
      <c r="AC78" s="197">
        <f>IFERROR(AVERAGEIFS($J$100:$J$110,$J$100:$J$110,"&lt;=180",$H$100:$H$110,"=Offshore",$D$100:$D$110,"=Saline"),0)</f>
        <v>115</v>
      </c>
      <c r="AD78" s="197">
        <f>IFERROR(SUMIFS($I$100:$I$110,$J$100:$J$110,"&lt;=180",$H$100:$H$110,"=Offshore",$D$100:$D$110,"=Saline"),0)</f>
        <v>1.0833333333333333</v>
      </c>
      <c r="AE78" s="197">
        <f>IFERROR(AVERAGEIFS($J$100:$J$110,$J$100:$J$110,"&lt;=180",$H$100:$H$110,"=Offshore",$D$100:$D$110,"=Carbon"),0)</f>
        <v>0</v>
      </c>
      <c r="AF78" s="197">
        <f>IFERROR(SUMIFS($I$100:$I$110,$J$100:$J$110,"&lt;=180",$H$100:$H$110,"=Offshore",$D$100:$D$110,"=Carbon"),0)</f>
        <v>0</v>
      </c>
      <c r="AJ78" s="197" t="s">
        <v>468</v>
      </c>
      <c r="AK78" s="197">
        <f>AC89</f>
        <v>0</v>
      </c>
      <c r="AL78" s="197">
        <f>AC91</f>
        <v>0</v>
      </c>
      <c r="AM78" s="197">
        <f>AC93</f>
        <v>0</v>
      </c>
      <c r="AN78" s="197">
        <f>AC90</f>
        <v>180</v>
      </c>
      <c r="AO78" s="204">
        <f>AC92</f>
        <v>250</v>
      </c>
      <c r="AP78" s="197">
        <f>AC94</f>
        <v>955</v>
      </c>
      <c r="AQ78" s="197">
        <f>AE90</f>
        <v>0</v>
      </c>
      <c r="AR78" s="204">
        <f>AE92</f>
        <v>0</v>
      </c>
      <c r="AS78" s="197">
        <f>AE94</f>
        <v>1310</v>
      </c>
    </row>
    <row r="79" spans="2:45">
      <c r="B79" s="197">
        <v>6</v>
      </c>
      <c r="C79" s="197" t="s">
        <v>518</v>
      </c>
      <c r="D79" s="197" t="s">
        <v>484</v>
      </c>
      <c r="E79" s="197" t="s">
        <v>485</v>
      </c>
      <c r="F79" s="199" t="s">
        <v>469</v>
      </c>
      <c r="G79" s="197">
        <f>E276</f>
        <v>2.8</v>
      </c>
      <c r="H79" s="197">
        <f t="shared" si="4"/>
        <v>0.46666666666666662</v>
      </c>
      <c r="I79" s="197">
        <f t="shared" si="5"/>
        <v>466.66666666666663</v>
      </c>
      <c r="J79" s="197" t="s">
        <v>446</v>
      </c>
      <c r="K79" s="197" t="s">
        <v>443</v>
      </c>
      <c r="L79" s="197">
        <f>I80+I81+I82+I83</f>
        <v>6615</v>
      </c>
      <c r="M79" s="197">
        <f>L79</f>
        <v>6615</v>
      </c>
      <c r="N79" s="197">
        <v>0</v>
      </c>
      <c r="O79" s="197">
        <v>0</v>
      </c>
      <c r="P79" s="197">
        <f>O79</f>
        <v>0</v>
      </c>
      <c r="Q79" s="197">
        <v>0</v>
      </c>
      <c r="R79" s="197">
        <f>Q79</f>
        <v>0</v>
      </c>
      <c r="S79" s="197">
        <v>0</v>
      </c>
      <c r="T79" s="197">
        <f>SUM(L79:S79)</f>
        <v>13230</v>
      </c>
      <c r="AB79" s="197" t="s">
        <v>399</v>
      </c>
      <c r="AC79" s="197">
        <f>IFERROR(AVERAGEIFS($J$100:$J$110,$J$100:$J$110,"&gt;180",$J$100:$J$110,"&lt;=500",$H$100:$H$110,"=Onshore",$D$100:$D$110,"=Saline"),0)</f>
        <v>350</v>
      </c>
      <c r="AD79" s="197">
        <f>SUMIFS($I$100:$I$110,$J$100:$J$110,"&gt;180",$J$100:$J$110,"&lt;=500",$H$100:$H$110,"=Onshore",$D$100:$D$110,"=Saline")</f>
        <v>0.57500000000000007</v>
      </c>
      <c r="AE79" s="197">
        <f>IFERROR(AVERAGEIFS($J$100:$J$110,$J$100:$J$110,"&gt;180",$J$100:$J$110,"&lt;=500",$H$100:$H$110,"=Onshore",$D$100:$D$110,"=Carbon"),0)</f>
        <v>0</v>
      </c>
      <c r="AF79" s="197">
        <f>SUMIFS($I$100:$I$110,$J$100:$J$110,"&gt;180",$J$100:$J$110,"&lt;=500",$H$100:$H$110,"=Onshore",$D$100:$D$110,"=Carbon")</f>
        <v>0</v>
      </c>
      <c r="AJ79" s="197" t="s">
        <v>470</v>
      </c>
      <c r="AK79" s="197">
        <f>AC95</f>
        <v>0</v>
      </c>
      <c r="AL79" s="197">
        <f>AC97</f>
        <v>0</v>
      </c>
      <c r="AM79" s="197">
        <f>AC99</f>
        <v>0</v>
      </c>
      <c r="AN79" s="197">
        <f>AC96</f>
        <v>150</v>
      </c>
      <c r="AO79" s="204">
        <f>AC98</f>
        <v>330</v>
      </c>
      <c r="AP79" s="197">
        <f>AC100</f>
        <v>720</v>
      </c>
      <c r="AQ79" s="197">
        <f>AE96</f>
        <v>150</v>
      </c>
      <c r="AR79" s="204">
        <f>AE98</f>
        <v>0</v>
      </c>
      <c r="AS79" s="197">
        <f>AE100</f>
        <v>1110</v>
      </c>
    </row>
    <row r="80" spans="2:45">
      <c r="B80" s="197">
        <v>2</v>
      </c>
      <c r="C80" s="197" t="s">
        <v>519</v>
      </c>
      <c r="D80" s="197" t="s">
        <v>484</v>
      </c>
      <c r="E80" s="197" t="s">
        <v>486</v>
      </c>
      <c r="F80" s="199" t="s">
        <v>455</v>
      </c>
      <c r="G80" s="197">
        <f>E274</f>
        <v>11</v>
      </c>
      <c r="H80" s="197">
        <f t="shared" si="4"/>
        <v>5.5</v>
      </c>
      <c r="I80" s="197">
        <f t="shared" si="5"/>
        <v>5500</v>
      </c>
      <c r="J80" s="197" t="s">
        <v>443</v>
      </c>
      <c r="K80" s="197" t="s">
        <v>448</v>
      </c>
      <c r="L80" s="197">
        <f>I84+I86</f>
        <v>2600</v>
      </c>
      <c r="M80" s="197">
        <f>L80</f>
        <v>2600</v>
      </c>
      <c r="N80" s="197">
        <f>I86+I87+I88</f>
        <v>7500</v>
      </c>
      <c r="O80" s="197">
        <f>N80</f>
        <v>7500</v>
      </c>
      <c r="P80" s="197">
        <f>O80</f>
        <v>7500</v>
      </c>
      <c r="Q80" s="197">
        <v>0</v>
      </c>
      <c r="R80" s="197">
        <f>Q80</f>
        <v>0</v>
      </c>
      <c r="S80" s="197">
        <f>I86</f>
        <v>1500</v>
      </c>
      <c r="T80" s="197">
        <f>SUM(L80:S80)</f>
        <v>29200</v>
      </c>
      <c r="AB80" s="197" t="s">
        <v>400</v>
      </c>
      <c r="AC80" s="204">
        <f>IFERROR(AVERAGEIFS($J$100:$J$110,$J$100:$J$110,"&gt;180",$J$100:$J$110,"&lt;=500",$H$100:$H$110,"=Offshore",$D$100:$D$110,"=Saline"),0)</f>
        <v>395</v>
      </c>
      <c r="AD80" s="197">
        <f>IFERROR(SUMIFS($I$100:$I$110,$J$100:$J$110,"&gt;180",$J$100:$J$110,"&lt;=500",$H$100:$H$110,"=Offshore",$D$100:$D$110,"=Saline"),0)</f>
        <v>7.1916666666666664</v>
      </c>
      <c r="AE80" s="204">
        <f>IFERROR(AVERAGEIFS($J$100:$J$110,$J$100:$J$110,"&gt;180",$J$100:$J$110,"&lt;=500",$H$100:$H$110,"=Offshore",$D$100:$D$110,"=Carbon"),0)</f>
        <v>450</v>
      </c>
      <c r="AF80" s="197">
        <f>IFERROR(SUMIFS($I$100:$I$110,$J$100:$J$110,"&gt;180",$J$100:$J$110,"&lt;=500",$H$100:$H$110,"=Offshore",$D$100:$D$110,"=Carbon"),0)</f>
        <v>2.6</v>
      </c>
      <c r="AJ80" s="197" t="s">
        <v>473</v>
      </c>
      <c r="AK80" s="197">
        <f>AC101</f>
        <v>0</v>
      </c>
      <c r="AL80" s="197">
        <f>AC103</f>
        <v>0</v>
      </c>
      <c r="AM80" s="197">
        <f>AC105</f>
        <v>0</v>
      </c>
      <c r="AN80" s="197">
        <f>AC102</f>
        <v>180</v>
      </c>
      <c r="AO80" s="204">
        <f>AC104</f>
        <v>500</v>
      </c>
      <c r="AP80" s="197">
        <f>AC106</f>
        <v>570</v>
      </c>
      <c r="AQ80" s="197">
        <f>AE102</f>
        <v>180</v>
      </c>
      <c r="AR80" s="204">
        <f>AE104</f>
        <v>0</v>
      </c>
      <c r="AS80" s="197">
        <f>AE106</f>
        <v>925</v>
      </c>
    </row>
    <row r="81" spans="2:45">
      <c r="B81" s="197">
        <v>2</v>
      </c>
      <c r="C81" s="197" t="s">
        <v>519</v>
      </c>
      <c r="D81" s="197" t="s">
        <v>484</v>
      </c>
      <c r="E81" s="197" t="s">
        <v>487</v>
      </c>
      <c r="F81" s="199" t="s">
        <v>456</v>
      </c>
      <c r="G81" s="197">
        <f>E273</f>
        <v>0.6</v>
      </c>
      <c r="H81" s="197">
        <f t="shared" si="4"/>
        <v>0.3</v>
      </c>
      <c r="I81" s="197">
        <f t="shared" si="5"/>
        <v>300</v>
      </c>
      <c r="J81" s="197" t="s">
        <v>443</v>
      </c>
      <c r="AB81" s="197" t="s">
        <v>399</v>
      </c>
      <c r="AC81" s="197">
        <f>IFERROR(AVERAGEIFS($J$100:$J$110,$J$100:$J$110,"&gt;500",$H$100:$H$110,"=Onshore",$D$100:$D$110,"=Saline"),0)</f>
        <v>0</v>
      </c>
      <c r="AD81" s="197">
        <f>IFERROR(SUMIFS($I$100:$I$110,$J$100:$J$110,"&gt;500",$H$100:$H$110,"=Onshore",$D$100:$D$110,"=Saline"),0)</f>
        <v>0</v>
      </c>
      <c r="AE81" s="197">
        <f>IFERROR(AVERAGEIFS($J$100:$J$110,$J$100:$J$110,"&gt;500",$H$100:$H$110,"=Onshore",$D$100:$D$110,"=Carbon"),0)</f>
        <v>0</v>
      </c>
      <c r="AF81" s="197">
        <f>IFERROR(SUMIFS($I$100:$I$110,$J$100:$J$110,"&gt;500",$H$100:$H$110,"=Onshore",$D$100:$D$110,"=Carbon"),0)</f>
        <v>0</v>
      </c>
      <c r="AJ81" s="197" t="s">
        <v>466</v>
      </c>
      <c r="AK81" s="197">
        <f>AC107</f>
        <v>0</v>
      </c>
      <c r="AL81" s="197">
        <f>AC109</f>
        <v>0</v>
      </c>
      <c r="AM81" s="197">
        <f>AC111</f>
        <v>0</v>
      </c>
      <c r="AN81" s="197">
        <f>AC108</f>
        <v>165</v>
      </c>
      <c r="AO81" s="204">
        <f>AC110</f>
        <v>375.83333333333337</v>
      </c>
      <c r="AP81" s="197">
        <f>AC112</f>
        <v>585</v>
      </c>
      <c r="AQ81" s="197">
        <f>AE108</f>
        <v>0</v>
      </c>
      <c r="AR81" s="204">
        <f>AE110</f>
        <v>0</v>
      </c>
      <c r="AS81" s="197">
        <f>AE112</f>
        <v>615</v>
      </c>
    </row>
    <row r="82" spans="2:45">
      <c r="B82" s="197">
        <v>2</v>
      </c>
      <c r="C82" s="197" t="s">
        <v>519</v>
      </c>
      <c r="D82" s="197" t="s">
        <v>484</v>
      </c>
      <c r="E82" s="197" t="s">
        <v>488</v>
      </c>
      <c r="F82" s="200" t="s">
        <v>489</v>
      </c>
      <c r="G82" s="197">
        <f>B291+B285+B289</f>
        <v>0.48</v>
      </c>
      <c r="H82" s="197">
        <f t="shared" si="4"/>
        <v>0.24</v>
      </c>
      <c r="I82" s="197">
        <f t="shared" si="5"/>
        <v>240</v>
      </c>
      <c r="J82" s="197" t="s">
        <v>443</v>
      </c>
      <c r="L82" s="197" t="s">
        <v>517</v>
      </c>
      <c r="AB82" s="197" t="s">
        <v>400</v>
      </c>
      <c r="AC82" s="197">
        <f>IFERROR(AVERAGEIFS($J$100:$J$110,$J$100:$J$110,"&gt;500",$H$100:$H$110,"=Offshore",$D$100:$D$110,"=Saline"),0)</f>
        <v>660</v>
      </c>
      <c r="AD82" s="197">
        <f>IFERROR(SUMIFS($I$100:$I$110,$J$100:$J$110,"&gt;500",$H$100:$H$110,"=Offshore",$D$100:$D$110,"=Saline"),0)</f>
        <v>0.13999999999999999</v>
      </c>
      <c r="AE82" s="197">
        <f>IFERROR(AVERAGEIFS($J$100:$J$110,$J$100:$J$110,"&gt;500",$H$100:$H$110,"=Offshore",$D$100:$D$110,"=Carbon"),0)</f>
        <v>0</v>
      </c>
      <c r="AF82" s="197">
        <f>IFERROR(SUMIFS($I$100:$I$110,$J$100:$J$110,"&gt;500",$H$100:$H$110,"=Offshore",$D$100:$D$110,"=Carbon"),0)</f>
        <v>0</v>
      </c>
      <c r="AJ82" s="197" t="s">
        <v>465</v>
      </c>
      <c r="AK82" s="197">
        <f>AC113</f>
        <v>0</v>
      </c>
      <c r="AL82" s="197">
        <f>AC115</f>
        <v>0</v>
      </c>
      <c r="AM82" s="197">
        <f>AC117</f>
        <v>0</v>
      </c>
      <c r="AN82" s="197">
        <f>AC114</f>
        <v>0</v>
      </c>
      <c r="AO82" s="204">
        <f>AC116</f>
        <v>0</v>
      </c>
      <c r="AP82" s="197">
        <f>AC118</f>
        <v>915</v>
      </c>
      <c r="AQ82" s="197">
        <f>AE114</f>
        <v>0</v>
      </c>
      <c r="AR82" s="204">
        <f>AE116</f>
        <v>0</v>
      </c>
      <c r="AS82" s="197">
        <f>AE118</f>
        <v>0</v>
      </c>
    </row>
    <row r="83" spans="2:45">
      <c r="B83" s="197">
        <v>2</v>
      </c>
      <c r="C83" s="197" t="s">
        <v>519</v>
      </c>
      <c r="D83" s="197" t="s">
        <v>484</v>
      </c>
      <c r="E83" s="197" t="s">
        <v>490</v>
      </c>
      <c r="F83" s="199" t="s">
        <v>461</v>
      </c>
      <c r="G83" s="197">
        <f>B284+B287+B286</f>
        <v>1.1500000000000001</v>
      </c>
      <c r="H83" s="197">
        <f t="shared" si="4"/>
        <v>0.57500000000000007</v>
      </c>
      <c r="I83" s="197">
        <f t="shared" si="5"/>
        <v>575.00000000000011</v>
      </c>
      <c r="J83" s="197" t="s">
        <v>443</v>
      </c>
      <c r="K83" s="197" t="s">
        <v>446</v>
      </c>
      <c r="L83" s="197">
        <f>G78+G79+G85+G89+G90+G91</f>
        <v>58.15</v>
      </c>
      <c r="AA83" s="197" t="s">
        <v>460</v>
      </c>
      <c r="AB83" s="197" t="s">
        <v>399</v>
      </c>
      <c r="AC83" s="197">
        <f>IFERROR(AVERAGEIFS($J$111:$J$121,$J$111:$J$121,"&lt;=180",$H$111:$H$121,"=Onshore",$D$111:$D$121,"=Saline"),0)</f>
        <v>60</v>
      </c>
      <c r="AD83" s="197">
        <f>IFERROR(SUMIFS($I$111:$I$121,$J$111:$J$121,"&lt;=180",$H$111:$H$121,"=Onshore",$D$111:$D$121,"=Saline"),0)</f>
        <v>0.57500000000000007</v>
      </c>
      <c r="AE83" s="197">
        <f>IFERROR(AVERAGEIFS($J$111:$J$121,$J$111:$J$121,"&lt;=180",$H$111:$H$121,"=Onshore",$D$111:$D$121,"=Carbon"),0)</f>
        <v>0</v>
      </c>
      <c r="AF83" s="197">
        <f>IFERROR(SUMIFS($I$111:$I$121,$J$111:$J$121,"&lt;=180",$H$111:$H$121,"=Onshore",$D$111:$D$121,"=Carbon"),0)</f>
        <v>0</v>
      </c>
      <c r="AJ83" s="197" t="s">
        <v>463</v>
      </c>
      <c r="AK83" s="197">
        <f>AC119</f>
        <v>0</v>
      </c>
      <c r="AL83" s="197">
        <f>AC121</f>
        <v>0</v>
      </c>
      <c r="AM83" s="197">
        <f>AC123</f>
        <v>0</v>
      </c>
      <c r="AN83" s="197">
        <f>AC120</f>
        <v>0</v>
      </c>
      <c r="AO83" s="204">
        <f>AC122</f>
        <v>0</v>
      </c>
      <c r="AP83" s="197">
        <f>AC124</f>
        <v>1280</v>
      </c>
      <c r="AQ83" s="197">
        <f>AE120</f>
        <v>0</v>
      </c>
      <c r="AR83" s="204">
        <f>AE122</f>
        <v>0</v>
      </c>
      <c r="AS83" s="197">
        <f>AE124</f>
        <v>0</v>
      </c>
    </row>
    <row r="84" spans="2:45">
      <c r="B84" s="197">
        <v>2</v>
      </c>
      <c r="C84" s="197" t="s">
        <v>519</v>
      </c>
      <c r="D84" s="197" t="s">
        <v>484</v>
      </c>
      <c r="E84" s="197" t="s">
        <v>491</v>
      </c>
      <c r="F84" s="199" t="s">
        <v>492</v>
      </c>
      <c r="G84" s="197">
        <f>B292</f>
        <v>2.2000000000000002</v>
      </c>
      <c r="H84" s="197">
        <f t="shared" si="4"/>
        <v>1.1000000000000001</v>
      </c>
      <c r="I84" s="197">
        <f t="shared" si="5"/>
        <v>1100</v>
      </c>
      <c r="J84" s="197" t="s">
        <v>448</v>
      </c>
      <c r="K84" s="197" t="s">
        <v>443</v>
      </c>
      <c r="L84" s="197">
        <f>G80+G81+G82+G83</f>
        <v>13.23</v>
      </c>
      <c r="AB84" s="197" t="s">
        <v>400</v>
      </c>
      <c r="AC84" s="197">
        <f>IFERROR(AVERAGEIFS($J$111:$J$121,$J$111:$J$121,"&lt;=180",$H$111:$H$121,"=Offshore",$D$111:$D$121,"=Saline"),0)</f>
        <v>40</v>
      </c>
      <c r="AD84" s="207">
        <f>IFERROR(SUMIFS($I$111:$I$121,$J$111:$J$121,"&lt;=180",$H$111:$H$121,"=Offshore",$D$111:$D$121,"=Saline"),0)</f>
        <v>0.2</v>
      </c>
      <c r="AE84" s="197">
        <f>IFERROR(AVERAGEIFS($J$111:$J$121,$J$111:$J$121,"&lt;=180",$H$111:$H$121,"=Offshore",$D$111:$D$121,"=Carbon"),0)</f>
        <v>0</v>
      </c>
      <c r="AF84" s="204">
        <f>IFERROR(SUMIFS($I$111:$I$121,$J$111:$J$121,"&lt;=180",$H$111:$H$121,"=Offshore",$D$111:$D$121,"=Carbon"),0)</f>
        <v>0</v>
      </c>
    </row>
    <row r="85" spans="2:45">
      <c r="B85" s="197">
        <v>6</v>
      </c>
      <c r="C85" s="197" t="s">
        <v>518</v>
      </c>
      <c r="D85" s="197" t="s">
        <v>493</v>
      </c>
      <c r="E85" s="197" t="s">
        <v>494</v>
      </c>
      <c r="F85" s="199" t="s">
        <v>471</v>
      </c>
      <c r="G85" s="197">
        <f>SUM(E282:E290)-E272</f>
        <v>41.949999999999996</v>
      </c>
      <c r="H85" s="197">
        <f t="shared" si="4"/>
        <v>6.9916666666666663</v>
      </c>
      <c r="I85" s="197">
        <f t="shared" si="5"/>
        <v>6991.6666666666661</v>
      </c>
      <c r="J85" s="197" t="s">
        <v>446</v>
      </c>
      <c r="K85" s="197" t="s">
        <v>448</v>
      </c>
      <c r="L85" s="197">
        <f>G84+G86+G87+G88</f>
        <v>29.2</v>
      </c>
      <c r="AB85" s="197" t="s">
        <v>399</v>
      </c>
      <c r="AC85" s="197">
        <f>IFERROR(AVERAGEIFS($J$111:$J$121,$J$111:$J$121,"&gt;180",$J$111:$J$121,"&lt;=500",$H$111:$H$121,"=Onshore",$D$111:$D$121,"=Saline"),0)</f>
        <v>333.33333333333331</v>
      </c>
      <c r="AD85" s="197">
        <f>SUMIFS($I$111:$I$121,$J$111:$J$121,"&gt;180",$J$111:$J$121,"&lt;=500",$H$111:$H$121,"=Onshore",$D$111:$D$121,"=Saline")</f>
        <v>6.04</v>
      </c>
      <c r="AE85" s="197">
        <f>IFERROR(AVERAGEIFS($J$111:$J$121,$J$111:$J$121,"&gt;180",$J$111:$J$121,"&lt;=500",$H$111:$H$121,"=Onshore",$D$111:$D$121,"=Carbon"),0)</f>
        <v>0</v>
      </c>
      <c r="AF85" s="197">
        <f>SUMIFS($I$111:$I$121,$J$111:$J$121,"&gt;180",$J$111:$J$121,"&lt;=500",$H$111:$H$121,"=Onshore",$D$111:$D$121,"=Carbon")</f>
        <v>0</v>
      </c>
    </row>
    <row r="86" spans="2:45">
      <c r="B86" s="197">
        <v>6</v>
      </c>
      <c r="C86" s="197" t="s">
        <v>518</v>
      </c>
      <c r="D86" s="197" t="s">
        <v>493</v>
      </c>
      <c r="E86" s="197" t="s">
        <v>495</v>
      </c>
      <c r="F86" s="199" t="s">
        <v>458</v>
      </c>
      <c r="G86" s="197">
        <f>E291/3</f>
        <v>9</v>
      </c>
      <c r="H86" s="197">
        <f t="shared" si="4"/>
        <v>1.5</v>
      </c>
      <c r="I86" s="197">
        <f t="shared" si="5"/>
        <v>1500</v>
      </c>
      <c r="J86" s="197" t="s">
        <v>448</v>
      </c>
      <c r="AB86" s="197" t="s">
        <v>400</v>
      </c>
      <c r="AC86" s="204">
        <f>IFERROR(AVERAGEIFS($J$111:$J$121,$J$111:$J$121,"&gt;180",$J$111:$J$121,"&lt;=500",$H$111:$H$121,"=Offshore",$D$111:$D$121,"=Saline"),0)</f>
        <v>423.33333333333331</v>
      </c>
      <c r="AD86" s="197">
        <f>IFERROR(SUMIFS($I$111:$I$121,$J$111:$J$121,"&gt;180",$J$111:$J$121,"&lt;=500",$H$111:$H$121,"=Offshore",$D$111:$D$121,"=Saline"),0)</f>
        <v>1.2233333333333332</v>
      </c>
      <c r="AE86" s="204">
        <f>IFERROR(AVERAGEIFS($J$111:$J$121,$J$111:$J$121,"&gt;180",$J$111:$J$121,"&lt;=500",$H$111:$H$121,"=Offshore",$D$111:$D$121,"=Carbon"),0)</f>
        <v>340</v>
      </c>
      <c r="AF86" s="197">
        <f>IFERROR(SUMIFS($I$111:$I$121,$J$111:$J$121,"&gt;180",$J$111:$J$121,"&lt;=500",$H$111:$H$121,"=Offshore",$D$111:$D$121,"=Carbon"),0)</f>
        <v>1.1000000000000001</v>
      </c>
    </row>
    <row r="87" spans="2:45">
      <c r="B87" s="197">
        <v>3</v>
      </c>
      <c r="C87" s="197" t="s">
        <v>520</v>
      </c>
      <c r="D87" s="197" t="s">
        <v>493</v>
      </c>
      <c r="E87" s="197" t="s">
        <v>496</v>
      </c>
      <c r="F87" s="199" t="s">
        <v>474</v>
      </c>
      <c r="G87" s="197">
        <f>E291/3</f>
        <v>9</v>
      </c>
      <c r="H87" s="197">
        <f t="shared" si="4"/>
        <v>3</v>
      </c>
      <c r="I87" s="197">
        <f t="shared" si="5"/>
        <v>3000</v>
      </c>
      <c r="J87" s="197" t="s">
        <v>448</v>
      </c>
      <c r="AB87" s="197" t="s">
        <v>399</v>
      </c>
      <c r="AC87" s="197">
        <f>IFERROR(AVERAGEIFS($J$111:$J$121,$J$111:$J$121,"&gt;500",$H$110:$H$120,"=Onshore",$D$111:$D$121,"=Saline"),0)</f>
        <v>0</v>
      </c>
      <c r="AD87" s="197">
        <f>IFERROR(SUMIFS($I$111:$I$121,$J$111:$J$121,"&gt;500",$H$111:$H$121,"=Onshore",$D$111:$D$121,"=Saline"),0)</f>
        <v>0</v>
      </c>
      <c r="AE87" s="197">
        <f>IFERROR(AVERAGEIFS($J$111:$J$121,$J$111:$J$121,"&gt;500",$H$110:$H$120,"=Onshore",$D$111:$D$121,"=Carbon"),0)</f>
        <v>0</v>
      </c>
      <c r="AF87" s="197">
        <f>IFERROR(SUMIFS($I$111:$I$121,$J$111:$J$121,"&gt;500",$H$111:$H$121,"=Onshore",$D$111:$D$121,"=Carbon"),0)</f>
        <v>0</v>
      </c>
    </row>
    <row r="88" spans="2:45">
      <c r="B88" s="197">
        <v>3</v>
      </c>
      <c r="C88" s="197" t="s">
        <v>520</v>
      </c>
      <c r="D88" s="197" t="s">
        <v>493</v>
      </c>
      <c r="E88" s="197" t="s">
        <v>497</v>
      </c>
      <c r="F88" s="200" t="s">
        <v>498</v>
      </c>
      <c r="G88" s="197">
        <f>E291/3</f>
        <v>9</v>
      </c>
      <c r="H88" s="197">
        <f t="shared" si="4"/>
        <v>3</v>
      </c>
      <c r="I88" s="197">
        <f t="shared" si="5"/>
        <v>3000</v>
      </c>
      <c r="J88" s="197" t="s">
        <v>448</v>
      </c>
      <c r="AB88" s="197" t="s">
        <v>400</v>
      </c>
      <c r="AC88" s="197">
        <f>IFERROR(AVERAGEIFS($J$111:$J$121,$J$111:$J$121,"&gt;500",$H$111:$H$121,"=Offshore",$D$111:$D$121,"=Saline"),0)</f>
        <v>880</v>
      </c>
      <c r="AD88" s="197">
        <f>IFERROR(SUMIFS($I$111:$I$121,$J$111:$J$121,"&gt;500",$H$111:$H$121,"=Offshore",$D$111:$D$121,"=Saline"),0)</f>
        <v>6.9916666666666663</v>
      </c>
      <c r="AE88" s="197">
        <f>IFERROR(AVERAGEIFS($J$111:$J$121,$J$111:$J$121,"&gt;500",$H$111:$H$121,"=Offshore",$D$111:$D$121,"=Carbon"),0)</f>
        <v>900</v>
      </c>
      <c r="AF88" s="197">
        <f>IFERROR(SUMIFS($I$111:$I$121,$J$111:$J$121,"&gt;500",$H$111:$H$121,"=Offshore",$D$111:$D$121,"=Carbon"),0)</f>
        <v>1.5</v>
      </c>
      <c r="AN88" s="197" t="s">
        <v>521</v>
      </c>
      <c r="AQ88" s="197" t="s">
        <v>522</v>
      </c>
    </row>
    <row r="89" spans="2:45">
      <c r="B89" s="197">
        <v>3</v>
      </c>
      <c r="C89" s="197" t="s">
        <v>520</v>
      </c>
      <c r="D89" s="197" t="s">
        <v>493</v>
      </c>
      <c r="E89" s="197" t="s">
        <v>499</v>
      </c>
      <c r="F89" s="199" t="s">
        <v>72</v>
      </c>
      <c r="G89" s="197">
        <f>E270</f>
        <v>8</v>
      </c>
      <c r="H89" s="197">
        <f t="shared" si="4"/>
        <v>2.6666666666666665</v>
      </c>
      <c r="I89" s="197">
        <f t="shared" si="5"/>
        <v>2666.6666666666665</v>
      </c>
      <c r="J89" s="197" t="s">
        <v>446</v>
      </c>
      <c r="AA89" s="197" t="s">
        <v>468</v>
      </c>
      <c r="AB89" s="197" t="s">
        <v>399</v>
      </c>
      <c r="AC89" s="197">
        <f>IFERROR(AVERAGEIFS($J$155:$J$161,$J$155:$J$161,"&lt;=180",$H$155:$H$161,"=Onshore",$D$155:$D$161,"=Saline"),0)</f>
        <v>0</v>
      </c>
      <c r="AD89" s="197">
        <f>IFERROR(SUMIFS($I$155:$I$161,$J$155:$J$161,"&lt;=180",$H$155:$H$161,"=Onshore",$D$155:$D$161,"=Saline"),0)</f>
        <v>0</v>
      </c>
      <c r="AE89" s="197">
        <f>IFERROR(AVERAGEIFS($J$155:$J$161,$J$155:$J$161,"&lt;=180",$H$155:$H$161,"=Onshore",$D$155:$D$161,"=Carbon"),0)</f>
        <v>0</v>
      </c>
      <c r="AF89" s="197">
        <f>IFERROR(SUMIFS($I$155:$I$161,$J$155:$J$161,"&lt;=180",$H$155:$H$161,"=Onshore",$D$155:$D$161,"=Carbon"),0)</f>
        <v>0</v>
      </c>
      <c r="AN89" s="197" t="s">
        <v>510</v>
      </c>
      <c r="AO89" s="197" t="s">
        <v>511</v>
      </c>
      <c r="AP89" s="197" t="s">
        <v>512</v>
      </c>
      <c r="AQ89" s="197" t="s">
        <v>510</v>
      </c>
      <c r="AR89" s="197" t="s">
        <v>511</v>
      </c>
      <c r="AS89" s="197" t="s">
        <v>512</v>
      </c>
    </row>
    <row r="90" spans="2:45">
      <c r="B90" s="197">
        <v>5</v>
      </c>
      <c r="C90" s="197" t="s">
        <v>523</v>
      </c>
      <c r="D90" s="197" t="s">
        <v>500</v>
      </c>
      <c r="E90" s="197" t="s">
        <v>501</v>
      </c>
      <c r="F90" s="199" t="s">
        <v>462</v>
      </c>
      <c r="G90" s="197">
        <f>E277+E278</f>
        <v>1</v>
      </c>
      <c r="H90" s="197">
        <f t="shared" si="4"/>
        <v>0.2</v>
      </c>
      <c r="I90" s="197">
        <f t="shared" si="5"/>
        <v>200</v>
      </c>
      <c r="J90" s="197" t="s">
        <v>446</v>
      </c>
      <c r="AB90" s="197" t="s">
        <v>400</v>
      </c>
      <c r="AC90" s="197">
        <f>IFERROR(AVERAGEIFS($J$155:$J$161,$J$155:$J$161,"&lt;=180",$H$155:$H$161,"=Offshore",$D$155:$D$161,"=Saline"),0)</f>
        <v>180</v>
      </c>
      <c r="AD90" s="197">
        <f>IFERROR(SUMIFS($I$155:$I$161,$J$155:$J$161,"&lt;=180",$H$155:$H$161,"=Offshore",$D$155:$D$161,"=Saline"),0)</f>
        <v>0.6166666666666667</v>
      </c>
      <c r="AE90" s="197">
        <f>IFERROR(AVERAGEIFS($J$155:$J$161,$J$155:$J$161,"&lt;=180",$H$155:$H$161,"=Offshore",$D$155:$D$161,"=Carbon"),0)</f>
        <v>0</v>
      </c>
      <c r="AF90" s="197">
        <f>IFERROR(SUMIFS($I$155:$I$161,$J$155:$J$161,"&lt;=180",$H$155:$H$161,"=Offshore",$D$155:$D$161,"=Carbon"),0)</f>
        <v>0</v>
      </c>
      <c r="AN90" s="197">
        <v>5</v>
      </c>
      <c r="AO90" s="197">
        <v>7</v>
      </c>
      <c r="AP90" s="197">
        <v>9</v>
      </c>
      <c r="AQ90" s="197">
        <v>6</v>
      </c>
      <c r="AR90" s="197">
        <v>8</v>
      </c>
      <c r="AS90" s="197">
        <v>10</v>
      </c>
    </row>
    <row r="91" spans="2:45">
      <c r="B91" s="197">
        <v>5</v>
      </c>
      <c r="C91" s="197" t="s">
        <v>523</v>
      </c>
      <c r="D91" s="197" t="s">
        <v>500</v>
      </c>
      <c r="E91" s="197" t="s">
        <v>502</v>
      </c>
      <c r="F91" s="199" t="s">
        <v>464</v>
      </c>
      <c r="G91" s="197">
        <f>E275</f>
        <v>0.7</v>
      </c>
      <c r="H91" s="197">
        <f t="shared" si="4"/>
        <v>0.13999999999999999</v>
      </c>
      <c r="I91" s="197">
        <f t="shared" si="5"/>
        <v>139.99999999999997</v>
      </c>
      <c r="J91" s="197" t="s">
        <v>446</v>
      </c>
      <c r="AB91" s="197" t="s">
        <v>399</v>
      </c>
      <c r="AC91" s="197">
        <f>IFERROR(AVERAGEIFS($J$155:$J$161,$J$155:$J$161,"&gt;180",$J$155:$J$161,"&lt;=500",$H$155:$H$161,"=Onshore",$D$155:$D$161,"=Saline"),0)</f>
        <v>0</v>
      </c>
      <c r="AD91" s="197">
        <f>SUMIFS($I$155:$I$161,$J$155:$J$161,"&gt;180",$J$155:$J$161,"&lt;=500",$H$155:$H$161,"=Onshore",$D$155:$D$161,"=Saline")</f>
        <v>0</v>
      </c>
      <c r="AE91" s="197">
        <f>IFERROR(AVERAGEIFS($J$155:$J$161,$J$155:$J$161,"&gt;180",$J$155:$J$161,"&lt;=500",$H$155:$H$161,"=Onshore",$D$155:$D$161,"=Carbon"),0)</f>
        <v>0</v>
      </c>
      <c r="AF91" s="197">
        <f>SUMIFS($I$155:$I$161,$J$155:$J$161,"&gt;180",$J$155:$J$161,"&lt;=500",$H$155:$H$161,"=Onshore",$D$155:$D$161,"=Carbon")</f>
        <v>0</v>
      </c>
      <c r="AN91" s="197">
        <f t="shared" ref="AN91:AS97" si="6">AN90+6</f>
        <v>11</v>
      </c>
      <c r="AO91" s="197">
        <f t="shared" si="6"/>
        <v>13</v>
      </c>
      <c r="AP91" s="197">
        <f t="shared" si="6"/>
        <v>15</v>
      </c>
      <c r="AQ91" s="197">
        <f t="shared" si="6"/>
        <v>12</v>
      </c>
      <c r="AR91" s="197">
        <f t="shared" si="6"/>
        <v>14</v>
      </c>
      <c r="AS91" s="197">
        <f t="shared" si="6"/>
        <v>16</v>
      </c>
    </row>
    <row r="92" spans="2:45">
      <c r="AB92" s="197" t="s">
        <v>400</v>
      </c>
      <c r="AC92" s="204">
        <f>IFERROR(AVERAGEIFS($J$155:$J$161,$J$155:$J$161,"&gt;180",$J$155:$J$161,"&lt;=500",$H$155:$H$161,"=Offshore",$D$155:$D$161,"=Saline"),0)</f>
        <v>250</v>
      </c>
      <c r="AD92" s="197">
        <f>IFERROR(SUMIFS($I$155:$I$161,$J$155:$J$161,"&gt;180",$J$155:$J$161,"&lt;=500",$H$155:$H$161,"=Offshore",$D$155:$D$161,"=Saline"),0)</f>
        <v>0.46666666666666662</v>
      </c>
      <c r="AE92" s="204">
        <f>IFERROR(AVERAGEIFS($J$155:$J$161,$J$155:$J$161,"&gt;180",$J$155:$J$161,"&lt;=500",$H$155:$H$161,"=Offshore",$D$155:$D$161,"=Carbon"),0)</f>
        <v>0</v>
      </c>
      <c r="AF92" s="197">
        <f>IFERROR(SUMIFS($I$155:$I$161,$J$155:$J$161,"&gt;180",$J$155:$J$161,"&lt;=500",$H$155:$H$161,"=Offshore",$D$155:$D$161,"=Carbon"),0)</f>
        <v>0</v>
      </c>
      <c r="AN92" s="197">
        <f t="shared" si="6"/>
        <v>17</v>
      </c>
      <c r="AO92" s="197">
        <f t="shared" si="6"/>
        <v>19</v>
      </c>
      <c r="AP92" s="197">
        <f t="shared" si="6"/>
        <v>21</v>
      </c>
      <c r="AQ92" s="197">
        <f t="shared" si="6"/>
        <v>18</v>
      </c>
      <c r="AR92" s="197">
        <f t="shared" si="6"/>
        <v>20</v>
      </c>
      <c r="AS92" s="197">
        <f t="shared" si="6"/>
        <v>22</v>
      </c>
    </row>
    <row r="93" spans="2:45">
      <c r="AB93" s="197" t="s">
        <v>399</v>
      </c>
      <c r="AC93" s="197">
        <f>IFERROR(AVERAGEIFS($J$155:$J$161,$J$155:$J$161,"&gt;500",$H$155:$H$161,"=Onshore",$D$155:$D$161,"=Saline"),0)</f>
        <v>0</v>
      </c>
      <c r="AD93" s="197">
        <f>IFERROR(SUMIFS($I$155:$I$161,$J$155:$J$161,"&gt;500",$H$155:$H$161,"=Onshore",$D$155:$D$161,"=Saline"),0)</f>
        <v>0</v>
      </c>
      <c r="AE93" s="197">
        <f>IFERROR(AVERAGEIFS($J$155:$J$161,$J$155:$J$161,"&gt;500",$H$155:$H$161,"=Onshore",$D$155:$D$161,"=Carbon"),0)</f>
        <v>0</v>
      </c>
      <c r="AF93" s="197">
        <f>IFERROR(SUMIFS($I$155:$I$161,$J$155:$J$161,"&gt;500",$H$155:$H$161,"=Onshore",$D$155:$D$161,"=Carbon"),0)</f>
        <v>0</v>
      </c>
      <c r="AN93" s="197">
        <f t="shared" si="6"/>
        <v>23</v>
      </c>
      <c r="AO93" s="197">
        <f t="shared" si="6"/>
        <v>25</v>
      </c>
      <c r="AP93" s="197">
        <f t="shared" si="6"/>
        <v>27</v>
      </c>
      <c r="AQ93" s="197">
        <f t="shared" si="6"/>
        <v>24</v>
      </c>
      <c r="AR93" s="197">
        <f t="shared" si="6"/>
        <v>26</v>
      </c>
      <c r="AS93" s="197">
        <f t="shared" si="6"/>
        <v>28</v>
      </c>
    </row>
    <row r="94" spans="2:45">
      <c r="AB94" s="197" t="s">
        <v>400</v>
      </c>
      <c r="AC94" s="197">
        <f>IFERROR(AVERAGEIFS($J$155:$J$161,$J$155:$J$161,"&gt;500",$H$155:$H$161,"=Offshore",$D$155:$D$161,"=Saline"),0)</f>
        <v>955</v>
      </c>
      <c r="AD94" s="197">
        <f>IFERROR(SUMIFS($I$155:$I$161,$J$155:$J$161,"&gt;500",$H$155:$H$161,"=Offshore",$D$155:$D$161,"=Saline"),0)</f>
        <v>9.6583333333333332</v>
      </c>
      <c r="AE94" s="197">
        <f>IFERROR(AVERAGEIFS($J$155:$J$161,$J$155:$J$161,"&gt;500",$H$155:$H$161,"=Offshore",$D$155:$D$161,"=Carbon"),0)</f>
        <v>1310</v>
      </c>
      <c r="AF94" s="197">
        <f>IFERROR(SUMIFS($I$155:$I$161,$J$155:$J$161,"&gt;500",$H$155:$H$161,"=Offshore",$D$155:$D$161,"=Carbon"),0)</f>
        <v>7.5</v>
      </c>
      <c r="AN94" s="197">
        <f t="shared" si="6"/>
        <v>29</v>
      </c>
      <c r="AO94" s="197">
        <f t="shared" si="6"/>
        <v>31</v>
      </c>
      <c r="AP94" s="197">
        <f t="shared" si="6"/>
        <v>33</v>
      </c>
      <c r="AQ94" s="197">
        <f t="shared" si="6"/>
        <v>30</v>
      </c>
      <c r="AR94" s="197">
        <f t="shared" si="6"/>
        <v>32</v>
      </c>
      <c r="AS94" s="197">
        <f t="shared" si="6"/>
        <v>34</v>
      </c>
    </row>
    <row r="95" spans="2:45">
      <c r="B95" s="197" t="s">
        <v>524</v>
      </c>
      <c r="AA95" s="197" t="s">
        <v>470</v>
      </c>
      <c r="AB95" s="197" t="s">
        <v>399</v>
      </c>
      <c r="AC95" s="197">
        <f>IFERROR(AVERAGEIFS($J$174:$J$180,$J$174:$J$180,"&lt;=180",$H$174:$H$180,"=Onshore",$D$174:$D$180,"=Saline"),0)</f>
        <v>0</v>
      </c>
      <c r="AD95" s="197">
        <f>IFERROR(SUMIFS($I$174:$I$180,$J$174:$J$180,"&lt;=180",$H$174:$H$180,"=Onshore",$D$174:$D$180,"=Saline"),0)</f>
        <v>0</v>
      </c>
      <c r="AE95" s="197">
        <f>IFERROR(AVERAGEIFS($J$174:$J$180,$J$174:$J$180,"&lt;=180",$H$174:$H$180,"=Onshore",$D$174:$D$180,"=Carbon"),0)</f>
        <v>0</v>
      </c>
      <c r="AF95" s="197">
        <f>IFERROR(SUMIFS($I$174:$I$180,$J$174:$J$180,"&lt;=180",$H$174:$H$180,"=Onshore",$D$174:$D$180,"=Carbon"),0)</f>
        <v>0</v>
      </c>
      <c r="AN95" s="197">
        <f t="shared" si="6"/>
        <v>35</v>
      </c>
      <c r="AO95" s="197">
        <f t="shared" si="6"/>
        <v>37</v>
      </c>
      <c r="AP95" s="197">
        <f t="shared" si="6"/>
        <v>39</v>
      </c>
      <c r="AQ95" s="197">
        <f t="shared" si="6"/>
        <v>36</v>
      </c>
      <c r="AR95" s="197">
        <f t="shared" si="6"/>
        <v>38</v>
      </c>
      <c r="AS95" s="197">
        <f t="shared" si="6"/>
        <v>40</v>
      </c>
    </row>
    <row r="96" spans="2:45">
      <c r="B96" s="197" t="s">
        <v>525</v>
      </c>
      <c r="AB96" s="197" t="s">
        <v>400</v>
      </c>
      <c r="AC96" s="197">
        <f>IFERROR(AVERAGEIFS($J$174:$J$180,$J$174:$J$180,"&lt;=180",$H$174:$H$180,"=Offshore",$D$174:$D$180,"=Saline"),0)</f>
        <v>150</v>
      </c>
      <c r="AD96" s="197">
        <f>IFERROR(SUMIFS($I$174:$I$180,$J$174:$J$180,"&lt;=180",$H$174:$H$180,"=Offshore",$D$174:$D$180,"=Saline"),0)</f>
        <v>6.9916666666666663</v>
      </c>
      <c r="AE96" s="197">
        <f>IFERROR(AVERAGEIFS($J$174:$J$180,$J$174:$J$180,"&lt;=180",$H$174:$H$180,"=Offshore",$D$174:$D$180,"=Carbon"),0)</f>
        <v>150</v>
      </c>
      <c r="AF96" s="197">
        <f>IFERROR(SUMIFS($I$174:$I$180,$J$174:$J$180,"&lt;=180",$H$174:$H$180,"=Offshore",$D$174:$D$180,"=Carbon"),0)</f>
        <v>1.5</v>
      </c>
      <c r="AN96" s="197">
        <f t="shared" si="6"/>
        <v>41</v>
      </c>
      <c r="AO96" s="197">
        <f t="shared" si="6"/>
        <v>43</v>
      </c>
      <c r="AP96" s="197">
        <f t="shared" si="6"/>
        <v>45</v>
      </c>
      <c r="AQ96" s="197">
        <f t="shared" si="6"/>
        <v>42</v>
      </c>
      <c r="AR96" s="197">
        <f t="shared" si="6"/>
        <v>44</v>
      </c>
      <c r="AS96" s="197">
        <f t="shared" si="6"/>
        <v>46</v>
      </c>
    </row>
    <row r="97" spans="1:45">
      <c r="AB97" s="197" t="s">
        <v>399</v>
      </c>
      <c r="AC97" s="197">
        <f>IFERROR(AVERAGEIFS($J$174:$J$180,$J$174:$J$180,"&gt;180",$J$174:$J$180,"&lt;=500",$H$174:$H$180,"=Onshore",$D$174:$D$180,"=Saline"),0)</f>
        <v>0</v>
      </c>
      <c r="AD97" s="197">
        <f>SUMIFS($I$174:$I$180,$J$174:$J$180,"&gt;180",$J$174:$J$180,"&lt;=500",$H$174:$H$180,"=Onshore",$D$174:$D$180,"=Saline")</f>
        <v>0</v>
      </c>
      <c r="AE97" s="197">
        <f>IFERROR(AVERAGEIFS($J$174:$J$180,$J$174:$J$180,"&gt;180",$J$174:$J$180,"&lt;=500",$H$174:$H$180,"=Onshore",$D$174:$D$180,"=Carbon"),0)</f>
        <v>0</v>
      </c>
      <c r="AF97" s="197">
        <f>SUMIFS($I$174:$I$180,$J$174:$J$180,"&gt;180",$J$174:$J$180,"&lt;=500",$H$174:$H$180,"=Onshore",$D$174:$D$180,"=Carbon")</f>
        <v>0</v>
      </c>
      <c r="AN97" s="197">
        <f t="shared" si="6"/>
        <v>47</v>
      </c>
      <c r="AO97" s="197">
        <f t="shared" si="6"/>
        <v>49</v>
      </c>
      <c r="AP97" s="197">
        <f t="shared" si="6"/>
        <v>51</v>
      </c>
      <c r="AQ97" s="197">
        <f t="shared" si="6"/>
        <v>48</v>
      </c>
      <c r="AR97" s="197">
        <f t="shared" si="6"/>
        <v>50</v>
      </c>
      <c r="AS97" s="197">
        <f t="shared" si="6"/>
        <v>52</v>
      </c>
    </row>
    <row r="98" spans="1:45">
      <c r="A98" s="197" t="s">
        <v>526</v>
      </c>
      <c r="B98" s="197" t="s">
        <v>527</v>
      </c>
      <c r="J98" s="197" t="s">
        <v>528</v>
      </c>
      <c r="AB98" s="197" t="s">
        <v>400</v>
      </c>
      <c r="AC98" s="204">
        <f>IFERROR(AVERAGEIFS($J$174:$J$180,$J$174:$J$180,"&gt;180",$J$174:$J$180,"&lt;=500",$H$174:$H$180,"=Offshore",$D$174:$D$180,"=Saline"),0)</f>
        <v>330</v>
      </c>
      <c r="AD98" s="197">
        <f>IFERROR(SUMIFS($I$174:$I$180,$J$174:$J$180,"&gt;180",$J$174:$J$180,"&lt;=500",$H$174:$H$180,"=Offshore",$D$174:$D$180,"=Saline"),0)</f>
        <v>1.0833333333333333</v>
      </c>
      <c r="AE98" s="204">
        <f>IFERROR(AVERAGEIFS($J$174:$J$180,$J$174:$J$180,"&gt;180",$J$174:$J$180,"&lt;=500",$H$174:$H$180,"=Offshore",$D$174:$D$180,"=Carbon"),0)</f>
        <v>0</v>
      </c>
      <c r="AF98" s="197">
        <f>IFERROR(SUMIFS($I$174:$I$180,$J$174:$J$180,"&gt;180",$J$174:$J$180,"&lt;=500",$H$174:$H$180,"=Offshore",$D$174:$D$180,"=Carbon"),0)</f>
        <v>0</v>
      </c>
    </row>
    <row r="99" spans="1:45">
      <c r="B99" s="197" t="s">
        <v>452</v>
      </c>
      <c r="C99" s="197" t="s">
        <v>113</v>
      </c>
      <c r="D99" s="197" t="s">
        <v>529</v>
      </c>
      <c r="E99" s="197" t="s">
        <v>530</v>
      </c>
      <c r="F99" s="197" t="s">
        <v>531</v>
      </c>
      <c r="G99" s="197" t="s">
        <v>532</v>
      </c>
      <c r="H99" s="197" t="s">
        <v>533</v>
      </c>
      <c r="I99" s="197" t="s">
        <v>534</v>
      </c>
      <c r="J99" s="197" t="s">
        <v>535</v>
      </c>
      <c r="L99" s="197" t="s">
        <v>536</v>
      </c>
      <c r="M99" s="197" t="s">
        <v>537</v>
      </c>
      <c r="AB99" s="197" t="s">
        <v>399</v>
      </c>
      <c r="AC99" s="197">
        <f>IFERROR(AVERAGEIFS($J$174:$J$180,$J$174:$J$180,"&gt;500",$H$174:$H$180,"=Onshore",$D$174:$D$180,"=Saline"),0)</f>
        <v>0</v>
      </c>
      <c r="AD99" s="197">
        <f>IFERROR(SUMIFS($I$174:$I$180,$J$174:$J$180,"&gt;500",$H$174:$H$180,"=Onshore",$D$174:$D$180,"=Saline"),0)</f>
        <v>0</v>
      </c>
      <c r="AE99" s="197">
        <f>IFERROR(AVERAGEIFS($J$174:$J$180,$J$174:$J$180,"&gt;500",$H$174:$H$180,"=Onshore",$D$174:$D$180,"=Carbon"),0)</f>
        <v>0</v>
      </c>
      <c r="AF99" s="197">
        <f>IFERROR(SUMIFS($I$174:$I$180,$J$174:$J$180,"&gt;500",$H$174:$H$180,"=Onshore",$D$174:$D$180,"=Carbon"),0)</f>
        <v>0</v>
      </c>
    </row>
    <row r="100" spans="1:45">
      <c r="B100" s="197" t="s">
        <v>454</v>
      </c>
      <c r="C100" s="197" t="s">
        <v>538</v>
      </c>
      <c r="D100" s="197" t="s">
        <v>505</v>
      </c>
      <c r="E100" s="197" t="s">
        <v>483</v>
      </c>
      <c r="F100" s="197">
        <v>1</v>
      </c>
      <c r="G100" s="197" t="s">
        <v>482</v>
      </c>
      <c r="H100" s="208" t="s">
        <v>400</v>
      </c>
      <c r="I100" s="197">
        <f t="shared" ref="I100:I105" si="7">H78</f>
        <v>0.6166666666666667</v>
      </c>
      <c r="J100" s="209">
        <v>100</v>
      </c>
      <c r="L100" s="197" t="s">
        <v>539</v>
      </c>
      <c r="M100" s="197" t="s">
        <v>540</v>
      </c>
      <c r="AB100" s="197" t="s">
        <v>400</v>
      </c>
      <c r="AC100" s="197">
        <f>IFERROR(AVERAGEIFS($J$174:$J$180,$J$174:$J$180,"&gt;500",$H$174:$H$180,"=Offshore",$D$174:$D$180,"=Saline"),0)</f>
        <v>720</v>
      </c>
      <c r="AD100" s="197">
        <f>IFERROR(SUMIFS($I$174:$I$180,$J$174:$J$180,"&gt;500",$H$174:$H$180,"=Offshore",$D$174:$D$180,"=Saline"),0)</f>
        <v>2.6666666666666665</v>
      </c>
      <c r="AE100" s="197">
        <f>IFERROR(AVERAGEIFS($J$174:$J$180,$J$174:$J$180,"&gt;500",$H$174:$H$180,"=Offshore",$D$174:$D$180,"=Carbon"),0)</f>
        <v>1110</v>
      </c>
      <c r="AF100" s="197">
        <f>IFERROR(SUMIFS($I$174:$I$180,$J$174:$J$180,"&gt;500",$H$174:$H$180,"=Offshore",$D$174:$D$180,"=Carbon"),0)</f>
        <v>6</v>
      </c>
    </row>
    <row r="101" spans="1:45">
      <c r="D101" s="197" t="s">
        <v>505</v>
      </c>
      <c r="E101" s="197" t="s">
        <v>485</v>
      </c>
      <c r="F101" s="197">
        <v>2</v>
      </c>
      <c r="G101" s="197" t="s">
        <v>484</v>
      </c>
      <c r="H101" s="208" t="s">
        <v>400</v>
      </c>
      <c r="I101" s="197">
        <f t="shared" si="7"/>
        <v>0.46666666666666662</v>
      </c>
      <c r="J101" s="209">
        <v>130</v>
      </c>
      <c r="L101" s="197" t="s">
        <v>539</v>
      </c>
      <c r="M101" s="197" t="s">
        <v>541</v>
      </c>
      <c r="AA101" s="197" t="s">
        <v>473</v>
      </c>
      <c r="AB101" s="197" t="s">
        <v>399</v>
      </c>
      <c r="AC101" s="197">
        <f>IFERROR(AVERAGEIFS($J$192:$J$198,$J$192:$J$198,"&lt;=180",$H$192:$H$198,"=Onshore",$D$192:$D$198,"=Saline"),0)</f>
        <v>0</v>
      </c>
      <c r="AD101" s="197">
        <f>IFERROR(SUMIFS($I$192:$I$198,$J$192:$J$198,"&lt;=180",$H$192:$H$198,"=Onshore",$D$192:$D$198,"=Saline"),0)</f>
        <v>0</v>
      </c>
      <c r="AE101" s="197">
        <f>IFERROR(AVERAGEIFS($J$192:$J$198,$J$192:$J$198,"&lt;=180",$H$192:$H$198,"=Onshore",$D$192:$D$198,"=Carbon"),0)</f>
        <v>0</v>
      </c>
      <c r="AF101" s="197">
        <f>IFERROR(SUMIFS($I$192:$I$198,$J$192:$J$198,"&lt;=180",$H$192:$H$198,"=Onshore",$D$192:$D$198,"=Carbon"),0)</f>
        <v>0</v>
      </c>
    </row>
    <row r="102" spans="1:45">
      <c r="D102" s="197" t="s">
        <v>505</v>
      </c>
      <c r="E102" s="197" t="s">
        <v>486</v>
      </c>
      <c r="F102" s="197">
        <v>3</v>
      </c>
      <c r="G102" s="197" t="s">
        <v>484</v>
      </c>
      <c r="H102" s="197" t="s">
        <v>399</v>
      </c>
      <c r="I102" s="197">
        <f t="shared" si="7"/>
        <v>5.5</v>
      </c>
      <c r="J102" s="209">
        <v>80</v>
      </c>
      <c r="L102" s="197" t="s">
        <v>539</v>
      </c>
      <c r="AB102" s="197" t="s">
        <v>400</v>
      </c>
      <c r="AC102" s="197">
        <f>IFERROR(AVERAGEIFS($J$192:$J$198,$J$192:$J$198,"&lt;=180",$H$192:$H$198,"=Offshore",$D$192:$D$198,"=Saline"),0)</f>
        <v>180</v>
      </c>
      <c r="AD102" s="197">
        <f>IFERROR(SUMIFS($I$192:$I$198,$J$192:$J$198,"&lt;=180",$H$192:$H$198,"=Offshore",$D$192:$D$198,"=Saline"),0)</f>
        <v>6.9916666666666663</v>
      </c>
      <c r="AE102" s="197">
        <f>IFERROR(AVERAGEIFS($J$192:$J$198,$J$192:$J$198,"&lt;=180",$H$192:$H$198,"=Offshore",$D$192:$D$198,"=Carbon"),0)</f>
        <v>180</v>
      </c>
      <c r="AF102" s="197">
        <f>IFERROR(SUMIFS($I$192:$I$198,$J$192:$J$198,"&lt;=180",$H$192:$H$198,"=Offshore",$D$192:$D$198,"=Carbon"),0)</f>
        <v>1.5</v>
      </c>
    </row>
    <row r="103" spans="1:45">
      <c r="D103" s="197" t="s">
        <v>505</v>
      </c>
      <c r="E103" s="197" t="s">
        <v>487</v>
      </c>
      <c r="F103" s="197">
        <v>4</v>
      </c>
      <c r="G103" s="197" t="s">
        <v>484</v>
      </c>
      <c r="H103" s="197" t="s">
        <v>399</v>
      </c>
      <c r="I103" s="197">
        <f t="shared" si="7"/>
        <v>0.3</v>
      </c>
      <c r="J103" s="209">
        <v>65</v>
      </c>
      <c r="L103" s="197" t="s">
        <v>539</v>
      </c>
      <c r="AB103" s="197" t="s">
        <v>399</v>
      </c>
      <c r="AC103" s="197">
        <f>IFERROR(AVERAGEIFS($J$192:$J$198,$J$192:$J$198,"&gt;180",$J$192:$J$198,"&lt;=500",$H$192:$H$198,"=Onshore",$D$192:$D$198,"=Saline"),0)</f>
        <v>0</v>
      </c>
      <c r="AD103" s="197">
        <f>SUMIFS($I$192:$I$198,$J$192:$J$198,"&gt;180",$J$192:$J$198,"&lt;=500",$H$192:$H$198,"=Onshore",$D$192:$D$198,"=Saline")</f>
        <v>0</v>
      </c>
      <c r="AE103" s="197">
        <f>IFERROR(AVERAGEIFS($J$192:$J$198,$J$192:$J$198,"&gt;180",$J$192:$J$198,"&lt;=500",$H$192:$H$198,"=Onshore",$D$192:$D$198,"=Carbon"),0)</f>
        <v>0</v>
      </c>
      <c r="AF103" s="197">
        <f>SUMIFS($I$192:$I$198,$J$192:$J$198,"&gt;180",$J$192:$J$198,"&lt;=500",$H$192:$H$198,"=Onshore",$D$192:$D$198,"=Carbon")</f>
        <v>0</v>
      </c>
    </row>
    <row r="104" spans="1:45">
      <c r="D104" s="197" t="s">
        <v>505</v>
      </c>
      <c r="E104" s="197" t="s">
        <v>488</v>
      </c>
      <c r="F104" s="197">
        <v>5</v>
      </c>
      <c r="G104" s="197" t="s">
        <v>484</v>
      </c>
      <c r="H104" s="197" t="s">
        <v>399</v>
      </c>
      <c r="I104" s="197">
        <f t="shared" si="7"/>
        <v>0.24</v>
      </c>
      <c r="J104" s="209">
        <v>150</v>
      </c>
      <c r="L104" s="197" t="s">
        <v>539</v>
      </c>
      <c r="AB104" s="197" t="s">
        <v>400</v>
      </c>
      <c r="AC104" s="204">
        <f>IFERROR(AVERAGEIFS($J$192:$J$198,$J$192:$J$198,"&gt;180",$J$192:$J$198,"&lt;=500",$H$192:$H$198,"=Offshore",$D$192:$D$198,"=Saline"),0)</f>
        <v>500</v>
      </c>
      <c r="AD104" s="197">
        <f>IFERROR(SUMIFS($I$192:$I$198,$J$192:$J$198,"&gt;180",$J$192:$J$198,"&lt;=500",$H$192:$H$198,"=Offshore",$D$192:$D$198,"=Saline"),0)</f>
        <v>0.46666666666666662</v>
      </c>
      <c r="AE104" s="204">
        <f>IFERROR(AVERAGEIFS($J$192:$J$198,$J$192:$J$198,"&gt;180",$J$192:$J$198,"&lt;=500",$H$192:$H$198,"=Offshore",$D$192:$D$198,"=Carbon"),0)</f>
        <v>0</v>
      </c>
      <c r="AF104" s="197">
        <f>IFERROR(SUMIFS($I$192:$I$198,$J$192:$J$198,"&gt;180",$J$192:$J$198,"&lt;=500",$H$192:$H$198,"=Offshore",$D$192:$D$198,"=Carbon"),0)</f>
        <v>0</v>
      </c>
    </row>
    <row r="105" spans="1:45">
      <c r="D105" s="197" t="s">
        <v>505</v>
      </c>
      <c r="E105" s="197" t="s">
        <v>490</v>
      </c>
      <c r="F105" s="197">
        <v>6</v>
      </c>
      <c r="G105" s="197" t="s">
        <v>484</v>
      </c>
      <c r="H105" s="197" t="s">
        <v>399</v>
      </c>
      <c r="I105" s="197">
        <f t="shared" si="7"/>
        <v>0.57500000000000007</v>
      </c>
      <c r="J105" s="210">
        <v>350</v>
      </c>
      <c r="L105" s="197" t="s">
        <v>539</v>
      </c>
      <c r="AB105" s="197" t="s">
        <v>399</v>
      </c>
      <c r="AC105" s="197">
        <f>IFERROR(AVERAGEIFS($J$192:$J$198,$J$192:$J$198,"&gt;500",$H$192:$H$198,"=Onshore",$D$192:$D$198,"=Saline"),0)</f>
        <v>0</v>
      </c>
      <c r="AD105" s="197">
        <f>IFERROR(SUMIFS($I$192:$I$198,$J$192:$J$198,"&gt;500",$H$192:$H$198,"=Onshore",$D$192:$D$198,"=Saline"),0)</f>
        <v>0</v>
      </c>
      <c r="AE105" s="197">
        <f>IFERROR(AVERAGEIFS($J$192:$J$198,$J$192:$J$198,"&gt;500",$H$192:$H$198,"=Onshore",$D$192:$D$198,"=Carbon"),0)</f>
        <v>0</v>
      </c>
      <c r="AF105" s="197">
        <f>IFERROR(SUMIFS($I$192:$I$198,$J$192:$J$198,"&gt;500",$H$192:$H$198,"=Onshore",$D$192:$D$198,"=Carbon"),0)</f>
        <v>0</v>
      </c>
    </row>
    <row r="106" spans="1:45">
      <c r="D106" s="197" t="s">
        <v>505</v>
      </c>
      <c r="E106" s="197" t="s">
        <v>501</v>
      </c>
      <c r="F106" s="197">
        <v>7</v>
      </c>
      <c r="G106" s="197" t="s">
        <v>500</v>
      </c>
      <c r="H106" s="208" t="s">
        <v>400</v>
      </c>
      <c r="I106" s="197">
        <f>H90</f>
        <v>0.2</v>
      </c>
      <c r="J106" s="210">
        <v>300</v>
      </c>
      <c r="L106" s="197" t="s">
        <v>539</v>
      </c>
      <c r="AB106" s="197" t="s">
        <v>400</v>
      </c>
      <c r="AC106" s="197">
        <f>IFERROR(AVERAGEIFS($J$192:$J$198,$J$192:$J$198,"&gt;500",$H$192:$H$198,"=Offshore",$D$192:$D$198,"=Saline"),0)</f>
        <v>570</v>
      </c>
      <c r="AD106" s="197">
        <f>IFERROR(SUMIFS($I$192:$I$198,$J$192:$J$198,"&gt;500",$H$192:$H$198,"=Offshore",$D$192:$D$198,"=Saline"),0)</f>
        <v>3.2833333333333332</v>
      </c>
      <c r="AE106" s="197">
        <f>IFERROR(AVERAGEIFS($J$192:$J$198,$J$192:$J$198,"&gt;500",$H$192:$H$198,"=Offshore",$D$192:$D$198,"=Carbon"),0)</f>
        <v>925</v>
      </c>
      <c r="AF106" s="197">
        <f>IFERROR(SUMIFS($I$192:$I$198,$J$192:$J$198,"&gt;500",$H$192:$H$198,"=Offshore",$D$192:$D$198,"=Carbon"),0)</f>
        <v>6</v>
      </c>
    </row>
    <row r="107" spans="1:45">
      <c r="D107" s="197" t="s">
        <v>542</v>
      </c>
      <c r="E107" s="197" t="s">
        <v>160</v>
      </c>
      <c r="F107" s="197">
        <v>8</v>
      </c>
      <c r="G107" s="197" t="s">
        <v>484</v>
      </c>
      <c r="H107" s="208" t="s">
        <v>400</v>
      </c>
      <c r="I107" s="197">
        <f>H84</f>
        <v>1.1000000000000001</v>
      </c>
      <c r="J107" s="210">
        <v>400</v>
      </c>
      <c r="L107" s="197" t="s">
        <v>539</v>
      </c>
      <c r="AA107" s="197" t="s">
        <v>466</v>
      </c>
      <c r="AB107" s="197" t="s">
        <v>399</v>
      </c>
      <c r="AC107" s="197">
        <f>IF(AND($C$224&gt;0,$C$232&gt;0),AVERAGE($C$224,$C$232),IF($C$224&gt;0,$C$224,IF($C$232&gt;0,$C$232,0)))</f>
        <v>0</v>
      </c>
      <c r="AD107" s="197">
        <f>IF(AND($D$224&gt;0,$D$232&gt;0),MAX($D$224,$D$232),IF($D$224&gt;0,$D$224,IF($D$232&gt;0,$D$232,0)))</f>
        <v>0</v>
      </c>
      <c r="AE107" s="197">
        <f>IF(AND($E$224&gt;0,$E$232&gt;0),AVERAGE($E$224,$E$232),IF($E$224&gt;0,$E$224,IF($E$232&gt;0,$E$232,0)))</f>
        <v>0</v>
      </c>
      <c r="AF107" s="197">
        <f>IF(AND($F$224&gt;0,$F$232&gt;0),MAX($F$224,$F$232),IF($F$224&gt;0,$F$224,IF($F$232&gt;0,$F$232,0)))</f>
        <v>0</v>
      </c>
    </row>
    <row r="108" spans="1:45">
      <c r="D108" s="197" t="s">
        <v>505</v>
      </c>
      <c r="E108" s="197" t="s">
        <v>494</v>
      </c>
      <c r="F108" s="197">
        <v>9</v>
      </c>
      <c r="G108" s="197" t="s">
        <v>493</v>
      </c>
      <c r="H108" s="208" t="s">
        <v>400</v>
      </c>
      <c r="I108" s="197">
        <f>H85</f>
        <v>6.9916666666666663</v>
      </c>
      <c r="J108" s="210">
        <v>490</v>
      </c>
      <c r="L108" s="197" t="s">
        <v>539</v>
      </c>
      <c r="AB108" s="197" t="s">
        <v>400</v>
      </c>
      <c r="AC108" s="197">
        <f>IF(AND($C$225&gt;0,$C$233&gt;0),AVERAGE($C$225,$C$233),IF($C$225&gt;0,$C$225,IF($C$233&gt;0,$C$233,0)))</f>
        <v>165</v>
      </c>
      <c r="AD108" s="197">
        <f>IF(AND($D$225&gt;0,$D$233&gt;0),MAX($D$225,$D$233),IF($D$225&gt;0,$D$225,IF($D$233&gt;0,$D$233,0)))</f>
        <v>0.6166666666666667</v>
      </c>
      <c r="AE108" s="197">
        <f>IF(AND(Y71&gt;0,Y101&gt;0),AVERAGE(Y71,Y101),IF(Y71&gt;0,Y71,IF(Y101&gt;0,Y101,0)))</f>
        <v>0</v>
      </c>
      <c r="AF108" s="197">
        <f>IF(AND($F$225&gt;0,$F$233&gt;0),MAX($F$225,$F$233),IF($F$225&gt;0,$F$225,IF($F$233&gt;0,$F$233,0)))</f>
        <v>0</v>
      </c>
    </row>
    <row r="109" spans="1:45">
      <c r="D109" s="197" t="s">
        <v>542</v>
      </c>
      <c r="E109" s="197" t="s">
        <v>495</v>
      </c>
      <c r="F109" s="197">
        <v>10</v>
      </c>
      <c r="G109" s="197" t="s">
        <v>493</v>
      </c>
      <c r="H109" s="208" t="s">
        <v>400</v>
      </c>
      <c r="I109" s="197">
        <f>H86</f>
        <v>1.5</v>
      </c>
      <c r="J109" s="210">
        <v>500</v>
      </c>
      <c r="L109" s="197" t="s">
        <v>539</v>
      </c>
      <c r="M109" s="197" t="s">
        <v>543</v>
      </c>
      <c r="AB109" s="197" t="s">
        <v>399</v>
      </c>
      <c r="AC109" s="197">
        <f>IF(AND($C$226&gt;0,$C$234&gt;0),AVERAGE($C$226,$C$234),IF($C$226&gt;0,$C$226,IF($C$234&gt;0,$C$234,0)))</f>
        <v>0</v>
      </c>
      <c r="AD109" s="197">
        <f>IF(AND($D$226&gt;0,$D$234&gt;0),MAX($D$226,$D$234),IF($D$226&gt;0,$D$226,IF($D$234&gt;0,$D$234,0)))</f>
        <v>0</v>
      </c>
      <c r="AE109" s="197" t="e">
        <f>IF(AND(#REF!&gt;0,Y102&gt;0),AVERAGE(#REF!,Y102),IF(#REF!&gt;0,#REF!,IF(Y102&gt;0,Y102,0)))</f>
        <v>#REF!</v>
      </c>
      <c r="AF109" s="197">
        <f>IF(AND($F$226&gt;0,$F$234&gt;0),MAX($F$226,$F$234),IF($F$226&gt;0,$F$226,IF($F$234&gt;0,$F$234,0)))</f>
        <v>0</v>
      </c>
    </row>
    <row r="110" spans="1:45">
      <c r="D110" s="197" t="s">
        <v>505</v>
      </c>
      <c r="E110" s="197" t="s">
        <v>502</v>
      </c>
      <c r="F110" s="197">
        <v>11</v>
      </c>
      <c r="G110" s="197" t="s">
        <v>500</v>
      </c>
      <c r="H110" s="208" t="s">
        <v>400</v>
      </c>
      <c r="I110" s="197">
        <f>H91</f>
        <v>0.13999999999999999</v>
      </c>
      <c r="J110" s="211">
        <v>660</v>
      </c>
      <c r="L110" s="197" t="s">
        <v>539</v>
      </c>
      <c r="AB110" s="197" t="s">
        <v>400</v>
      </c>
      <c r="AC110" s="197">
        <f>IF(AND($C$227&gt;0,$C$235&gt;0),AVERAGE($C$227,$C$235),IF($C$227&gt;0,$C$227,IF($C$235&gt;0,$C$235,0)))</f>
        <v>375.83333333333337</v>
      </c>
      <c r="AD110" s="197">
        <f>IF(AND($D$227&gt;0,$D$235&gt;0),MAX($D$227,$D$235),IF($D$227&gt;0,$D$227,IF($D$235&gt;0,$D$235,0)))</f>
        <v>0.80666666666666664</v>
      </c>
      <c r="AE110" s="197">
        <f>IF(AND(Y95&gt;0,Y103&gt;0),AVERAGE(Y95,Y103),IF(Y95&gt;0,Y95,IF(Y103&gt;0,Y103,0)))</f>
        <v>0</v>
      </c>
      <c r="AF110" s="197">
        <f>IF(AND($F$227&gt;0,$F$235&gt;0),MAX($F$227,$F$235),IF($F$227&gt;0,$F$227,IF($F$235&gt;0,$F$235,0)))</f>
        <v>0</v>
      </c>
    </row>
    <row r="111" spans="1:45">
      <c r="B111" s="197" t="s">
        <v>460</v>
      </c>
      <c r="C111" s="197" t="s">
        <v>544</v>
      </c>
      <c r="D111" s="197" t="s">
        <v>505</v>
      </c>
      <c r="E111" s="197" t="str">
        <f t="shared" ref="E111:I121" si="8">E100</f>
        <v>Gassum Aquifer</v>
      </c>
      <c r="F111" s="197">
        <f t="shared" si="8"/>
        <v>1</v>
      </c>
      <c r="G111" s="197" t="str">
        <f t="shared" si="8"/>
        <v>Denmark/Norway</v>
      </c>
      <c r="H111" s="208" t="str">
        <f t="shared" si="8"/>
        <v>Offshore</v>
      </c>
      <c r="I111" s="197">
        <f t="shared" si="8"/>
        <v>0.6166666666666667</v>
      </c>
      <c r="J111" s="210">
        <v>420</v>
      </c>
      <c r="L111" s="197" t="s">
        <v>539</v>
      </c>
      <c r="M111" s="197" t="s">
        <v>545</v>
      </c>
      <c r="AB111" s="197" t="s">
        <v>399</v>
      </c>
      <c r="AC111" s="197">
        <f>IF(AND($C$228&gt;0,$C$236&gt;0),AVERAGE($C$228,$C$236),IF($C$228&gt;0,$C$228,IF($C$236&gt;0,$C$236,0)))</f>
        <v>0</v>
      </c>
      <c r="AD111" s="197">
        <f>IF(AND($D$228&gt;0,$D$236&gt;0),MAX($D$228,$D$236),IF($D$228&gt;0,$D$228,IF($D$236&gt;0,$D$236,0)))</f>
        <v>0</v>
      </c>
      <c r="AE111" s="197">
        <f>IF(AND($E$228&gt;0,$E$236&gt;0),AVERAGE($E$228,$E$236),IF($E$228&gt;0,$E$228,IF($E$236&gt;0,$E$236,0)))</f>
        <v>0</v>
      </c>
      <c r="AF111" s="197">
        <f>IF(AND($F$228&gt;0,$F$236&gt;0),MAX($F$228,$F$236),IF($F$228&gt;0,$F$228,IF($F$236&gt;0,$F$236,0)))</f>
        <v>0</v>
      </c>
    </row>
    <row r="112" spans="1:45">
      <c r="D112" s="197" t="s">
        <v>505</v>
      </c>
      <c r="E112" s="197" t="str">
        <f t="shared" si="8"/>
        <v>Hanstholm structure</v>
      </c>
      <c r="F112" s="197">
        <f t="shared" si="8"/>
        <v>2</v>
      </c>
      <c r="G112" s="197" t="str">
        <f t="shared" si="8"/>
        <v>Denmark</v>
      </c>
      <c r="H112" s="208" t="str">
        <f t="shared" si="8"/>
        <v>Offshore</v>
      </c>
      <c r="I112" s="197">
        <f t="shared" si="8"/>
        <v>0.46666666666666662</v>
      </c>
      <c r="J112" s="210">
        <v>450</v>
      </c>
      <c r="L112" s="197" t="s">
        <v>539</v>
      </c>
      <c r="M112" s="197" t="s">
        <v>541</v>
      </c>
      <c r="AB112" s="197" t="s">
        <v>400</v>
      </c>
      <c r="AC112" s="197">
        <f>IF(AND($C$229&gt;0,$C$237&gt;0),AVERAGE($C$229,$C$237),IF($C$229&gt;0,$C$229,IF($C$237&gt;0,$C$237,0)))</f>
        <v>585</v>
      </c>
      <c r="AD112" s="197">
        <f>IF(AND($D$229&gt;0,$D$237&gt;0),MAX($D$229,$D$237),IF($D$229&gt;0,$D$229,IF($D$237&gt;0,$D$237,0)))</f>
        <v>6.9916666666666663</v>
      </c>
      <c r="AE112" s="197">
        <f>IF(AND($E$229&gt;0,$E$237&gt;0),AVERAGE($E$229,$E$237),IF($E$229&gt;0,$E$229,IF($E$237&gt;0,$E$237,0)))</f>
        <v>615</v>
      </c>
      <c r="AF112" s="197">
        <f>IF(AND($F$229&gt;0,$F$237&gt;0),MAX($F$229,$F$237),IF($F$229&gt;0,$F$229,IF($F$237&gt;0,$F$237,0)))</f>
        <v>1.5</v>
      </c>
    </row>
    <row r="113" spans="4:32">
      <c r="D113" s="197" t="s">
        <v>505</v>
      </c>
      <c r="E113" s="197" t="str">
        <f t="shared" si="8"/>
        <v>Thisted structure</v>
      </c>
      <c r="F113" s="197">
        <f t="shared" si="8"/>
        <v>3</v>
      </c>
      <c r="G113" s="197" t="str">
        <f t="shared" si="8"/>
        <v>Denmark</v>
      </c>
      <c r="H113" s="197" t="str">
        <f t="shared" si="8"/>
        <v>Onshore</v>
      </c>
      <c r="I113" s="197">
        <f t="shared" si="8"/>
        <v>5.5</v>
      </c>
      <c r="J113" s="210">
        <v>450</v>
      </c>
      <c r="L113" s="197" t="s">
        <v>539</v>
      </c>
      <c r="AA113" s="197" t="s">
        <v>465</v>
      </c>
      <c r="AB113" s="197" t="s">
        <v>399</v>
      </c>
      <c r="AC113" s="197">
        <f>IFERROR(AVERAGEIFS($J$242:$J$243,$J$242:$J$243,"&lt;=180",$H$242:$H$243,"=Onshore",$D$242:$D$243,"=Saline"),0)</f>
        <v>0</v>
      </c>
      <c r="AD113" s="197">
        <f>IFERROR(SUMIFS($I$242:$I$243,$J$242:$J$243,"&lt;=180",$H$242:$H$243,"=Onshore",$D$242:$D$243,"=Saline"),0)</f>
        <v>0</v>
      </c>
      <c r="AE113" s="197">
        <f>IFERROR(AVERAGEIFS($J$242:$J$243,$J$242:$J$243,"&lt;=180",$H$242:$H$243,"=Onshore",$D$242:$D$243,"=Carbon"),0)</f>
        <v>0</v>
      </c>
      <c r="AF113" s="197">
        <f>IFERROR(SUMIFS($I$242:$I$243,$J$242:$J$243,"&lt;=180",$H$242:$H$243,"=Onshore",$D$242:$D$243,"=Carbon"),0)</f>
        <v>0</v>
      </c>
    </row>
    <row r="114" spans="4:32">
      <c r="D114" s="197" t="s">
        <v>505</v>
      </c>
      <c r="E114" s="197" t="str">
        <f t="shared" si="8"/>
        <v>Gassum structure</v>
      </c>
      <c r="F114" s="197">
        <f t="shared" si="8"/>
        <v>4</v>
      </c>
      <c r="G114" s="197" t="str">
        <f t="shared" si="8"/>
        <v>Denmark</v>
      </c>
      <c r="H114" s="197" t="str">
        <f t="shared" si="8"/>
        <v>Onshore</v>
      </c>
      <c r="I114" s="197">
        <f t="shared" si="8"/>
        <v>0.3</v>
      </c>
      <c r="J114" s="210">
        <v>300</v>
      </c>
      <c r="L114" s="197" t="s">
        <v>539</v>
      </c>
      <c r="AB114" s="197" t="s">
        <v>400</v>
      </c>
      <c r="AC114" s="197">
        <f>IFERROR(AVERAGEIFS($J$242:$J$243,$J$242:$J$243,"&lt;=180",$H$242:$H$243,"=Offshore",$D$242:$D$243,"=Saline"),0)</f>
        <v>0</v>
      </c>
      <c r="AD114" s="197">
        <f>IFERROR(SUMIFS($I$242:$I$243,$J$242:$J$243,"&lt;=180",$H$242:$H$243,"=Offshore",$D$242:$D$243,"=Saline"),0)</f>
        <v>0</v>
      </c>
      <c r="AE114" s="197">
        <f>IFERROR(AVERAGEIFS($J$242:$J$243,$J$242:$J$243,"&lt;=180",$H$242:$H$243,"=Offshore",$D$242:$D$243,"=Carbon"),0)</f>
        <v>0</v>
      </c>
      <c r="AF114" s="197">
        <f>IFERROR(SUMIFS($I$242:$I$243,$J$242:$J$243,"&lt;=180",$H$242:$H$243,"=Offshore",$D$242:$D$243,"=Carbon"),0)</f>
        <v>0</v>
      </c>
    </row>
    <row r="115" spans="4:32">
      <c r="D115" s="197" t="s">
        <v>505</v>
      </c>
      <c r="E115" s="197" t="str">
        <f t="shared" si="8"/>
        <v>Accumulated Mid/Southern Jutland (Voldum, Paarum, Tønder formations)</v>
      </c>
      <c r="F115" s="197">
        <f t="shared" si="8"/>
        <v>5</v>
      </c>
      <c r="G115" s="197" t="str">
        <f t="shared" si="8"/>
        <v>Denmark</v>
      </c>
      <c r="H115" s="197" t="str">
        <f t="shared" si="8"/>
        <v>Onshore</v>
      </c>
      <c r="I115" s="197">
        <f t="shared" si="8"/>
        <v>0.24</v>
      </c>
      <c r="J115" s="210">
        <v>250</v>
      </c>
      <c r="L115" s="197" t="s">
        <v>539</v>
      </c>
      <c r="AB115" s="197" t="s">
        <v>399</v>
      </c>
      <c r="AC115" s="197">
        <f>IFERROR(AVERAGEIFS($J$242:$J$243,$J$242:$J$243,"&gt;180",$J$242:$J$243,"&lt;=500",$H$242:$H$243,"=Onshore",$D$242:$D$243,"=Saline"),0)</f>
        <v>0</v>
      </c>
      <c r="AD115" s="197">
        <f>SUMIFS($I$242:$I$243,$J$242:$J$243,"&gt;180",$J$242:$J$243,"&lt;=500",$H$242:$H$243,"=Onshore",$D$242:$D$243,"=Saline")</f>
        <v>0</v>
      </c>
      <c r="AE115" s="197">
        <f>IFERROR(AVERAGEIFS($J$242:$J$243,$J$242:$J$243,"&gt;180",$J$242:$J$243,"&lt;=500",$H$242:$H$243,"=Onshore",$D$242:$D$243,"=Carbon"),0)</f>
        <v>0</v>
      </c>
      <c r="AF115" s="197">
        <f>SUMIFS($I$242:$I$243,$J$242:$J$243,"&gt;180",$J$242:$J$243,"&lt;=500",$H$242:$H$243,"=Onshore",$D$242:$D$243,"=Carbon")</f>
        <v>0</v>
      </c>
    </row>
    <row r="116" spans="4:32">
      <c r="D116" s="197" t="s">
        <v>505</v>
      </c>
      <c r="E116" s="197" t="str">
        <f t="shared" si="8"/>
        <v>Accumulated West/Southern Zealand (Havnsø, Stenlille, Rødby)</v>
      </c>
      <c r="F116" s="197">
        <f t="shared" si="8"/>
        <v>6</v>
      </c>
      <c r="G116" s="197" t="str">
        <f t="shared" si="8"/>
        <v>Denmark</v>
      </c>
      <c r="H116" s="197" t="str">
        <f t="shared" si="8"/>
        <v>Onshore</v>
      </c>
      <c r="I116" s="197">
        <f t="shared" si="8"/>
        <v>0.57500000000000007</v>
      </c>
      <c r="J116" s="209">
        <v>60</v>
      </c>
      <c r="L116" s="197" t="s">
        <v>539</v>
      </c>
      <c r="AB116" s="197" t="s">
        <v>400</v>
      </c>
      <c r="AC116" s="204">
        <f>IFERROR(AVERAGEIFS($J$242:$J$243,$J$242:$J$243,"&gt;180",$J$242:$J$243,"&lt;=500",$H$242:$H$243,"=Offshore",$D$242:$D$243,"=Saline"),0)</f>
        <v>0</v>
      </c>
      <c r="AD116" s="197">
        <f>IFERROR(SUMIFS($I$242:$I$243,$J$242:$J$243,"&gt;180",$J$242:$J$243,"&lt;=500",$H$242:$H$243,"=Offshore",$D$242:$D$243,"=Saline"),0)</f>
        <v>0</v>
      </c>
      <c r="AE116" s="204">
        <f>IFERROR(AVERAGEIFS($J$242:$J$243,$J$242:$J$243,"&gt;180",$J$242:$J$243,"&lt;=500",$H$242:$H$243,"=Offshore",$D$242:$D$243,"=Carbon"),0)</f>
        <v>0</v>
      </c>
      <c r="AF116" s="197">
        <f>IFERROR(SUMIFS($I$242:$I$243,$J$242:$J$243,"&gt;180",$J$242:$J$243,"&lt;=500",$H$242:$H$243,"=Offshore",$D$242:$D$243,"=Carbon"),0)</f>
        <v>0</v>
      </c>
    </row>
    <row r="117" spans="4:32">
      <c r="D117" s="197" t="s">
        <v>505</v>
      </c>
      <c r="E117" s="197" t="str">
        <f t="shared" si="8"/>
        <v>Anager Greensand + Höganäs - Rya storage unit</v>
      </c>
      <c r="F117" s="197">
        <f t="shared" si="8"/>
        <v>7</v>
      </c>
      <c r="G117" s="197" t="str">
        <f t="shared" si="8"/>
        <v>Sweden</v>
      </c>
      <c r="H117" s="208" t="str">
        <f t="shared" si="8"/>
        <v>Offshore</v>
      </c>
      <c r="I117" s="197">
        <f t="shared" si="8"/>
        <v>0.2</v>
      </c>
      <c r="J117" s="209">
        <v>40</v>
      </c>
      <c r="L117" s="197" t="s">
        <v>539</v>
      </c>
      <c r="AB117" s="197" t="s">
        <v>399</v>
      </c>
      <c r="AC117" s="197">
        <f>IFERROR(AVERAGEIFS($J$242:$J$243,$J$242:$J$243,"&gt;500",$H$242:$H$243,"=Onshore",$D$242:$D$243,"=Saline"),0)</f>
        <v>0</v>
      </c>
      <c r="AD117" s="197">
        <f>IFERROR(SUMIFS($I$242:$I$243,$J$242:$J$243,"&gt;500",$H$242:$H$243,"=Onshore",$D$242:$D$243,"=Saline"),0)</f>
        <v>0</v>
      </c>
      <c r="AE117" s="197">
        <f>IFERROR(AVERAGEIFS($J$242:$J$243,$J$242:$J$243,"&gt;500",$H$242:$H$243,"=Onshore",$D$242:$D$243,"=Carbon"),0)</f>
        <v>0</v>
      </c>
      <c r="AF117" s="197">
        <f>IFERROR(SUMIFS($I$242:$I$243,$J$242:$J$243,"&gt;500",$H$242:$H$243,"=Onshore",$D$242:$D$243,"=Carbon"),0)</f>
        <v>0</v>
      </c>
    </row>
    <row r="118" spans="4:32">
      <c r="D118" s="197" t="s">
        <v>542</v>
      </c>
      <c r="E118" s="197" t="str">
        <f t="shared" si="8"/>
        <v>Hydrocarbon fields</v>
      </c>
      <c r="F118" s="197">
        <f t="shared" si="8"/>
        <v>8</v>
      </c>
      <c r="G118" s="197" t="str">
        <f t="shared" si="8"/>
        <v>Denmark</v>
      </c>
      <c r="H118" s="208" t="str">
        <f t="shared" si="8"/>
        <v>Offshore</v>
      </c>
      <c r="I118" s="197">
        <f t="shared" si="8"/>
        <v>1.1000000000000001</v>
      </c>
      <c r="J118" s="210">
        <v>340</v>
      </c>
      <c r="L118" s="197" t="s">
        <v>539</v>
      </c>
      <c r="AB118" s="197" t="s">
        <v>400</v>
      </c>
      <c r="AC118" s="197">
        <f>IFERROR(AVERAGEIFS($J$242:$J$243,$J$242:$J$243,"&gt;500",$H$242:$H$243,"=Offshore",$D$242:$D$243,"=Saline"),0)</f>
        <v>915</v>
      </c>
      <c r="AD118" s="197">
        <f>IFERROR(SUMIFS($I$242:$I$243,$J$242:$J$243,"&gt;500",$H$242:$H$243,"=Offshore",$D$242:$D$243,"=Saline"),0)</f>
        <v>0.33999999999999997</v>
      </c>
      <c r="AE118" s="197">
        <f>IFERROR(AVERAGEIFS($J$242:$J$243,$J$242:$J$243,"&gt;500",$H$242:$H$243,"=Offshore",$D$242:$D$243,"=Carbon"),0)</f>
        <v>0</v>
      </c>
      <c r="AF118" s="197">
        <f>IFERROR(SUMIFS($I$242:$I$243,$J$242:$J$243,"&gt;500",$H$242:$H$243,"=Offshore",$D$242:$D$243,"=Carbon"),0)</f>
        <v>0</v>
      </c>
    </row>
    <row r="119" spans="4:32">
      <c r="D119" s="197" t="s">
        <v>505</v>
      </c>
      <c r="E119" s="197" t="str">
        <f t="shared" si="8"/>
        <v>Norway South accumulated (Heimdal, Frigg, Krossfjord, Flensfjord, Johannes, Skade, Sognefjord, Statfjord)</v>
      </c>
      <c r="F119" s="197">
        <f t="shared" si="8"/>
        <v>9</v>
      </c>
      <c r="G119" s="197" t="str">
        <f t="shared" si="8"/>
        <v>Norway</v>
      </c>
      <c r="H119" s="208" t="str">
        <f t="shared" si="8"/>
        <v>Offshore</v>
      </c>
      <c r="I119" s="197">
        <f t="shared" si="8"/>
        <v>6.9916666666666663</v>
      </c>
      <c r="J119" s="211">
        <v>880</v>
      </c>
      <c r="L119" s="197" t="s">
        <v>539</v>
      </c>
      <c r="AA119" s="197" t="s">
        <v>463</v>
      </c>
      <c r="AB119" s="197" t="s">
        <v>399</v>
      </c>
      <c r="AC119" s="197">
        <f>IFERROR(AVERAGEIFS($J$244:$J$245,$J$244:$J$245,"&lt;=180",$H$244:$H$245,"=Onshore",$D$244:$D$245,"=Saline"),0)</f>
        <v>0</v>
      </c>
      <c r="AD119" s="197">
        <f>IFERROR(SUMIFS($I$244:$I$245,$J$244:$J$245,"&lt;=180",$H$244:$H$245,"=Onshore",$D$244:$D$245,"=Saline"),0)</f>
        <v>0</v>
      </c>
      <c r="AE119" s="197">
        <f>IFERROR(AVERAGEIFS($J$244:$J$245,$J$244:$J$245,"&lt;=180",$H$244:$H$245,"=Onshore",$D$244:$D$245,"=Carbon"),0)</f>
        <v>0</v>
      </c>
      <c r="AF119" s="197">
        <f>IFERROR(SUMIFS($I$244:$I$245,$J$244:$J$245,"&lt;=180",$H$244:$H$245,"=Onshore",$D$244:$D$245,"=Carbon"),0)</f>
        <v>0</v>
      </c>
    </row>
    <row r="120" spans="4:32">
      <c r="D120" s="197" t="s">
        <v>542</v>
      </c>
      <c r="E120" s="197" t="str">
        <f t="shared" si="8"/>
        <v>Norway southern hydrocarbon fields</v>
      </c>
      <c r="F120" s="197">
        <f t="shared" si="8"/>
        <v>10</v>
      </c>
      <c r="G120" s="197" t="str">
        <f t="shared" si="8"/>
        <v>Norway</v>
      </c>
      <c r="H120" s="208" t="str">
        <f t="shared" si="8"/>
        <v>Offshore</v>
      </c>
      <c r="I120" s="197">
        <f t="shared" si="8"/>
        <v>1.5</v>
      </c>
      <c r="J120" s="211">
        <v>900</v>
      </c>
      <c r="L120" s="197" t="s">
        <v>539</v>
      </c>
      <c r="M120" s="197" t="s">
        <v>543</v>
      </c>
      <c r="AB120" s="197" t="s">
        <v>400</v>
      </c>
      <c r="AC120" s="197">
        <f>IFERROR(AVERAGEIFS($J$244:$J$245,$J$244:$J$245,"&lt;=180",$H$244:$H$245,"=Offshore",$D$244:$D$245,"=Saline"),0)</f>
        <v>0</v>
      </c>
      <c r="AD120" s="197">
        <f>IFERROR(SUMIFS($I$244:$I$245,$J$244:$J$245,"&lt;=180",$H$244:$H$245,"=Offshore",$D$244:$D$245,"=Saline"),0)</f>
        <v>0</v>
      </c>
      <c r="AE120" s="197">
        <f>IFERROR(AVERAGEIFS($J$244:$J$245,$J$244:$J$245,"&lt;=180",$H$244:$H$245,"=Offshore",$D$244:$D$245,"=Carbon"),0)</f>
        <v>0</v>
      </c>
      <c r="AF120" s="197">
        <f>IFERROR(SUMIFS($I$244:$I$245,$J$244:$J$245,"&lt;=180",$H$244:$H$245,"=Offshore",$D$244:$D$245,"=Carbon"),0)</f>
        <v>0</v>
      </c>
    </row>
    <row r="121" spans="4:32">
      <c r="D121" s="197" t="s">
        <v>505</v>
      </c>
      <c r="E121" s="197" t="str">
        <f t="shared" si="8"/>
        <v>Faludden</v>
      </c>
      <c r="F121" s="197">
        <f t="shared" si="8"/>
        <v>11</v>
      </c>
      <c r="G121" s="197" t="str">
        <f t="shared" si="8"/>
        <v>Sweden</v>
      </c>
      <c r="H121" s="208" t="str">
        <f t="shared" si="8"/>
        <v>Offshore</v>
      </c>
      <c r="I121" s="197">
        <f t="shared" si="8"/>
        <v>0.13999999999999999</v>
      </c>
      <c r="J121" s="210">
        <v>400</v>
      </c>
      <c r="L121" s="197" t="s">
        <v>539</v>
      </c>
      <c r="AB121" s="197" t="s">
        <v>399</v>
      </c>
      <c r="AC121" s="197">
        <f>IFERROR(AVERAGEIFS($J$244:$J$245,$J$244:$J$245,"&gt;180",$J$244:$J$245,"&lt;=500",$H$244:$H$245,"=Onshore",$D$244:$D$245,"=Saline"),0)</f>
        <v>0</v>
      </c>
      <c r="AD121" s="197">
        <f>SUMIFS($I$244:$I$245,$J$244:$J$245,"&gt;180",$J$244:$J$245,"&lt;=500",$H$244:$H$245,"=Onshore",$D$244:$D$245,"=Saline")</f>
        <v>0</v>
      </c>
      <c r="AE121" s="197">
        <f>IFERROR(AVERAGEIFS($J$244:$J$245,$J$244:$J$245,"&gt;180",$J$244:$J$245,"&lt;=500",$H$244:$H$245,"=Onshore",$D$244:$D$245,"=Carbon"),0)</f>
        <v>0</v>
      </c>
      <c r="AF121" s="197">
        <f>SUMIFS($I$244:$I$245,$J$244:$J$245,"&gt;180",$J$244:$J$245,"&lt;=500",$H$244:$H$245,"=Onshore",$D$244:$D$245,"=Carbon")</f>
        <v>0</v>
      </c>
    </row>
    <row r="122" spans="4:32">
      <c r="AB122" s="197" t="s">
        <v>400</v>
      </c>
      <c r="AC122" s="204">
        <f>IFERROR(AVERAGEIFS($J$244:$J$245,$J$244:$J$245,"&gt;180",$J$244:$J$245,"&lt;=500",$H$244:$H$245,"=Offshore",$D$244:$D$245,"=Saline"),0)</f>
        <v>0</v>
      </c>
      <c r="AD122" s="197">
        <f>IFERROR(SUMIFS($I$244:$I$245,$J$244:$J$245,"&gt;180",$J$244:$J$245,"&lt;=500",$H$244:$H$245,"=Offshore",$D$244:$D$245,"=Saline"),0)</f>
        <v>0</v>
      </c>
      <c r="AE122" s="204">
        <f>IFERROR(AVERAGEIFS($J$244:$J$245,$J$244:$J$245,"&gt;180",$J$244:$J$245,"&lt;=500",$H$244:$H$245,"=Offshore",$D$244:$D$245,"=Carbon"),0)</f>
        <v>0</v>
      </c>
      <c r="AF122" s="197">
        <f>IFERROR(SUMIFS($I$244:$I$245,$J$244:$J$245,"&gt;180",$J$244:$J$245,"&lt;=500",$H$244:$H$245,"=Offshore",$D$244:$D$245,"=Carbon"),0)</f>
        <v>0</v>
      </c>
    </row>
    <row r="123" spans="4:32">
      <c r="AB123" s="197" t="s">
        <v>399</v>
      </c>
      <c r="AC123" s="197">
        <f>IFERROR(AVERAGEIFS($J$244:$J$245,$J$244:$J$245,"&gt;500",$H$244:$H$245,"=Onshore",$D$244:$D$245,"=Saline"),0)</f>
        <v>0</v>
      </c>
      <c r="AD123" s="197">
        <f>IFERROR(SUMIFS($I$244:$I$245,$J$244:$J$245,"&gt;500",$H$244:$H$245,"=Onshore",$D$244:$D$245,"=Saline"),0)</f>
        <v>0</v>
      </c>
      <c r="AE123" s="197">
        <f>IFERROR(AVERAGEIFS($J$244:$J$245,$J$244:$J$245,"&gt;500",$H$244:$H$245,"=Onshore",$D$244:$D$245,"=Carbon"),0)</f>
        <v>0</v>
      </c>
      <c r="AF123" s="197">
        <f>IFERROR(SUMIFS($I$244:$I$245,$J$244:$J$245,"&gt;500",$H$244:$H$245,"=Onshore",$D$244:$D$245,"=Carbon"),0)</f>
        <v>0</v>
      </c>
    </row>
    <row r="124" spans="4:32">
      <c r="AB124" s="197" t="s">
        <v>400</v>
      </c>
      <c r="AC124" s="197">
        <f>IFERROR(AVERAGEIFS($J$244:$J$245,$J$244:$J$245,"&gt;500",$H$244:$H$245,"=Offshore",$D$244:$D$245,"=Saline"),0)</f>
        <v>1280</v>
      </c>
      <c r="AD124" s="197">
        <f>IFERROR(SUMIFS($I$242:$I$243,$J$242:$J$243,"&gt;500",$H$242:$H$243,"=Offshore",$D$244:$D$245,"=Saline"),0)</f>
        <v>0.33999999999999997</v>
      </c>
      <c r="AE124" s="197">
        <f>IFERROR(AVERAGEIFS($J$244:$J$245,$J$244:$J$245,"&gt;500",$H$244:$H$245,"=Offshore",$D$244:$D$245,"=Carbon"),0)</f>
        <v>0</v>
      </c>
      <c r="AF124" s="197">
        <f>IFERROR(SUMIFS($I$242:$I$243,$J$242:$J$243,"&gt;500",$H$242:$H$243,"=Offshore",$D$244:$D$245,"=Carbon"),0)</f>
        <v>0</v>
      </c>
    </row>
    <row r="125" spans="4:32">
      <c r="AA125" s="197" t="s">
        <v>517</v>
      </c>
      <c r="AD125" s="197">
        <f>SUM(AC58:AC129)</f>
        <v>10510.833333333332</v>
      </c>
      <c r="AF125" s="197" t="e">
        <f>SUM(AE58:AE129)</f>
        <v>#REF!</v>
      </c>
    </row>
    <row r="126" spans="4:32">
      <c r="AB126" s="204"/>
      <c r="AD126" s="204"/>
    </row>
    <row r="127" spans="4:32">
      <c r="AB127" s="204"/>
      <c r="AD127" s="204"/>
    </row>
    <row r="128" spans="4:32">
      <c r="AB128" s="204"/>
      <c r="AD128" s="204"/>
    </row>
    <row r="129" spans="1:30">
      <c r="AB129" s="204"/>
      <c r="AD129" s="204"/>
    </row>
    <row r="130" spans="1:30">
      <c r="D130" s="197" t="s">
        <v>546</v>
      </c>
      <c r="J130" s="197" t="s">
        <v>547</v>
      </c>
    </row>
    <row r="131" spans="1:30">
      <c r="D131" s="197" t="s">
        <v>548</v>
      </c>
      <c r="E131" s="197" t="s">
        <v>549</v>
      </c>
    </row>
    <row r="132" spans="1:30">
      <c r="D132" s="197" t="s">
        <v>550</v>
      </c>
      <c r="E132" s="197" t="s">
        <v>551</v>
      </c>
      <c r="F132" s="197" t="s">
        <v>552</v>
      </c>
    </row>
    <row r="133" spans="1:30">
      <c r="D133" s="197" t="s">
        <v>553</v>
      </c>
      <c r="E133" s="197" t="s">
        <v>554</v>
      </c>
    </row>
    <row r="134" spans="1:30">
      <c r="D134" s="197" t="s">
        <v>555</v>
      </c>
      <c r="F134" s="197" t="s">
        <v>508</v>
      </c>
    </row>
    <row r="135" spans="1:30">
      <c r="A135" s="197" t="s">
        <v>454</v>
      </c>
      <c r="C135" s="197" t="s">
        <v>513</v>
      </c>
      <c r="D135" s="197" t="s">
        <v>514</v>
      </c>
      <c r="E135" s="197" t="s">
        <v>513</v>
      </c>
      <c r="F135" s="197" t="s">
        <v>514</v>
      </c>
      <c r="S135" s="197" t="s">
        <v>556</v>
      </c>
    </row>
    <row r="136" spans="1:30">
      <c r="A136" s="197" t="s">
        <v>399</v>
      </c>
      <c r="B136" s="197" t="s">
        <v>557</v>
      </c>
      <c r="C136" s="197">
        <f>IFERROR(AVERAGEIFS($J$100:$J$110,$J$100:$J$110,"&lt;=180",$H$100:$H$110,"=Onshore",$D$100:$D$110,"=Saline"),0)</f>
        <v>98.333333333333329</v>
      </c>
      <c r="D136" s="197">
        <f>IFERROR(SUMIFS($I$100:$I$110,$J$100:$J$110,"&lt;=180",$H$100:$H$110,"=Onshore",$D$100:$D$110,"=Saline"),0)</f>
        <v>6.04</v>
      </c>
      <c r="E136" s="197">
        <f>IFERROR(AVERAGEIFS($J$100:$J$110,$J$100:$J$110,"&lt;=180",$H$100:$H$110,"=Onshore",$D$100:$D$110,"=Carbon"),0)</f>
        <v>0</v>
      </c>
      <c r="F136" s="197">
        <f>IFERROR(SUMIFS($I$100:$I$110,$J$100:$J$110,"&lt;=180",$H$100:$H$110,"=Onshore",$D$100:$D$110,"=Carbon"),0)</f>
        <v>0</v>
      </c>
      <c r="S136" s="197" t="s">
        <v>558</v>
      </c>
    </row>
    <row r="137" spans="1:30">
      <c r="A137" s="197" t="s">
        <v>400</v>
      </c>
      <c r="B137" s="197" t="s">
        <v>557</v>
      </c>
      <c r="C137" s="197">
        <f>IFERROR(AVERAGEIFS($J$100:$J$110,$J$100:$J$110,"&lt;=180",$H$100:$H$110,"=Offshore",$D$100:$D$110,"=Saline"),0)</f>
        <v>115</v>
      </c>
      <c r="D137" s="197">
        <f>IFERROR(SUMIFS($I$100:$I$110,$J$100:$J$110,"&lt;=180",$H$100:$H$110,"=Offshore",$D$100:$D$110,"=Saline"),0)</f>
        <v>1.0833333333333333</v>
      </c>
      <c r="E137" s="197">
        <f>IFERROR(AVERAGEIFS($J$100:$J$110,$J$100:$J$110,"&lt;=180",$H$100:$H$110,"=Offshore",$D$100:$D$110,"=Carbon"),0)</f>
        <v>0</v>
      </c>
      <c r="F137" s="197">
        <f>IFERROR(SUMIFS($I$100:$I$110,$J$100:$J$110,"&lt;=180",$H$100:$H$110,"=Offshore",$D$100:$D$110,"=Carbon"),0)</f>
        <v>0</v>
      </c>
      <c r="S137" s="197" t="s">
        <v>559</v>
      </c>
    </row>
    <row r="138" spans="1:30">
      <c r="A138" s="197" t="s">
        <v>399</v>
      </c>
      <c r="B138" s="197" t="s">
        <v>560</v>
      </c>
      <c r="C138" s="197">
        <f>IFERROR(AVERAGEIFS($J$100:$J$110,$J$100:$J$110,"&gt;180",$J$100:$J$110,"&lt;=500",$H$100:$H$110,"=Onshore",$D$100:$D$110,"=Saline"),0)</f>
        <v>350</v>
      </c>
      <c r="D138" s="197">
        <f>SUMIFS($I$100:$I$110,$J$100:$J$110,"&gt;180",$J$100:$J$110,"&lt;=500",$H$100:$H$110,"=Onshore",$D$100:$D$110,"=Saline")</f>
        <v>0.57500000000000007</v>
      </c>
      <c r="E138" s="197">
        <f>IFERROR(AVERAGEIFS($J$100:$J$110,$J$100:$J$110,"&gt;180",$J$100:$J$110,"&lt;=500",$H$100:$H$110,"=Onshore",$D$100:$D$110,"=Carbon"),0)</f>
        <v>0</v>
      </c>
      <c r="F138" s="197">
        <f>SUMIFS($I$100:$I$110,$J$100:$J$110,"&gt;180",$J$100:$J$110,"&lt;=500",$H$100:$H$110,"=Onshore",$D$100:$D$110,"=Carbon")</f>
        <v>0</v>
      </c>
    </row>
    <row r="139" spans="1:30">
      <c r="A139" s="197" t="s">
        <v>400</v>
      </c>
      <c r="B139" s="197" t="s">
        <v>560</v>
      </c>
      <c r="C139" s="204">
        <f>IFERROR(AVERAGEIFS($J$100:$J$110,$J$100:$J$110,"&gt;180",$J$100:$J$110,"&lt;=500",$H$100:$H$110,"=Offshore",$D$100:$D$110,"=Saline"),0)</f>
        <v>395</v>
      </c>
      <c r="D139" s="197">
        <f>IFERROR(SUMIFS($I$100:$I$110,$J$100:$J$110,"&gt;180",$J$100:$J$110,"&lt;=500",$H$100:$H$110,"=Offshore",$D$100:$D$110,"=Saline"),0)</f>
        <v>7.1916666666666664</v>
      </c>
      <c r="E139" s="204">
        <f>IFERROR(AVERAGEIFS($J$100:$J$110,$J$100:$J$110,"&gt;180",$J$100:$J$110,"&lt;=500",$H$100:$H$110,"=Offshore",$D$100:$D$110,"=Carbon"),0)</f>
        <v>450</v>
      </c>
      <c r="F139" s="197">
        <f>IFERROR(SUMIFS($I$100:$I$110,$J$100:$J$110,"&gt;180",$J$100:$J$110,"&lt;=500",$H$100:$H$110,"=Offshore",$D$100:$D$110,"=Carbon"),0)</f>
        <v>2.6</v>
      </c>
      <c r="S139" s="197" t="s">
        <v>559</v>
      </c>
    </row>
    <row r="140" spans="1:30">
      <c r="A140" s="197" t="s">
        <v>399</v>
      </c>
      <c r="B140" s="197" t="s">
        <v>561</v>
      </c>
      <c r="C140" s="197">
        <f>IFERROR(AVERAGEIFS($J$100:$J$110,$J$100:$J$110,"&gt;500",$H$100:$H$110,"=Onshore",$D$100:$D$110,"=Saline"),0)</f>
        <v>0</v>
      </c>
      <c r="D140" s="197">
        <f>IFERROR(SUMIFS($I$100:$I$110,$J$100:$J$110,"&gt;500",$H$100:$H$110,"=Onshore",$D$100:$D$110,"=Saline"),0)</f>
        <v>0</v>
      </c>
      <c r="E140" s="197">
        <f>IFERROR(AVERAGEIFS($J$100:$J$110,$J$100:$J$110,"&gt;500",$H$100:$H$110,"=Onshore",$D$100:$D$110,"=Carbon"),0)</f>
        <v>0</v>
      </c>
      <c r="F140" s="197">
        <f>IFERROR(SUMIFS($I$100:$I$110,$J$100:$J$110,"&gt;500",$H$100:$H$110,"=Onshore",$D$100:$D$110,"=Carbon"),0)</f>
        <v>0</v>
      </c>
    </row>
    <row r="141" spans="1:30">
      <c r="A141" s="197" t="s">
        <v>400</v>
      </c>
      <c r="B141" s="197" t="s">
        <v>561</v>
      </c>
      <c r="C141" s="197">
        <f>IFERROR(AVERAGEIFS($J$100:$J$110,$J$100:$J$110,"&gt;500",$H$100:$H$110,"=Offshore",$D$100:$D$110,"=Saline"),0)</f>
        <v>660</v>
      </c>
      <c r="D141" s="197">
        <f>IFERROR(SUMIFS($I$100:$I$110,$J$100:$J$110,"&gt;500",$H$100:$H$110,"=Offshore",$D$100:$D$110,"=Saline"),0)</f>
        <v>0.13999999999999999</v>
      </c>
      <c r="E141" s="197">
        <f>IFERROR(AVERAGEIFS($J$100:$J$110,$J$100:$J$110,"&gt;500",$H$100:$H$110,"=Offshore",$D$100:$D$110,"=Carbon"),0)</f>
        <v>0</v>
      </c>
      <c r="F141" s="197">
        <f>IFERROR(SUMIFS($I$100:$I$110,$J$100:$J$110,"&gt;500",$H$100:$H$110,"=Offshore",$D$100:$D$110,"=Carbon"),0)</f>
        <v>0</v>
      </c>
      <c r="S141" s="197" t="s">
        <v>559</v>
      </c>
    </row>
    <row r="142" spans="1:30">
      <c r="D142" s="197" t="s">
        <v>555</v>
      </c>
      <c r="F142" s="197" t="s">
        <v>508</v>
      </c>
    </row>
    <row r="143" spans="1:30">
      <c r="A143" s="197" t="s">
        <v>460</v>
      </c>
      <c r="C143" s="197" t="s">
        <v>513</v>
      </c>
      <c r="D143" s="197" t="s">
        <v>514</v>
      </c>
      <c r="E143" s="197" t="s">
        <v>513</v>
      </c>
      <c r="F143" s="197" t="s">
        <v>514</v>
      </c>
    </row>
    <row r="144" spans="1:30">
      <c r="A144" s="197" t="s">
        <v>399</v>
      </c>
      <c r="B144" s="197" t="s">
        <v>557</v>
      </c>
      <c r="C144" s="197">
        <f>IFERROR(AVERAGEIFS($J$111:$J$121,$J$111:$J$121,"&lt;=180",$H$111:$H$121,"=Onshore",$D$111:$D$121,"=Saline"),0)</f>
        <v>60</v>
      </c>
      <c r="D144" s="197">
        <f>IFERROR(SUMIFS($I$111:$I$121,$J$111:$J$121,"&lt;=180",$H$111:$H$121,"=Onshore",$D$111:$D$121,"=Saline"),0)</f>
        <v>0.57500000000000007</v>
      </c>
      <c r="E144" s="197">
        <f>IFERROR(AVERAGEIFS($J$111:$J$121,$J$111:$J$121,"&lt;=180",$H$111:$H$121,"=Onshore",$D$111:$D$121,"=Carbon"),0)</f>
        <v>0</v>
      </c>
      <c r="F144" s="197">
        <f>IFERROR(SUMIFS($I$111:$I$121,$J$111:$J$121,"&lt;=180",$H$111:$H$121,"=Onshore",$D$111:$D$121,"=Carbon"),0)</f>
        <v>0</v>
      </c>
    </row>
    <row r="145" spans="1:13">
      <c r="A145" s="197" t="s">
        <v>400</v>
      </c>
      <c r="B145" s="197" t="s">
        <v>557</v>
      </c>
      <c r="C145" s="197">
        <f>IFERROR(AVERAGEIFS($J$111:$J$121,$J$111:$J$121,"&lt;=180",$H$111:$H$121,"=Offshore",$D$111:$D$121,"=Saline"),0)</f>
        <v>40</v>
      </c>
      <c r="D145" s="207">
        <f>IFERROR(SUMIFS($I$111:$I$121,$J$111:$J$121,"&lt;=180",$H$111:$H$121,"=Offshore",$D$111:$D$121,"=Saline"),0)</f>
        <v>0.2</v>
      </c>
      <c r="E145" s="197">
        <f>IFERROR(AVERAGEIFS($J$111:$J$121,$J$111:$J$121,"&lt;=180",$H$111:$H$121,"=Offshore",$D$111:$D$121,"=Carbon"),0)</f>
        <v>0</v>
      </c>
      <c r="F145" s="204">
        <f>IFERROR(SUMIFS($I$111:$I$121,$J$111:$J$121,"&lt;=180",$H$111:$H$121,"=Offshore",$D$111:$D$121,"=Carbon"),0)</f>
        <v>0</v>
      </c>
    </row>
    <row r="146" spans="1:13">
      <c r="A146" s="197" t="s">
        <v>399</v>
      </c>
      <c r="B146" s="197" t="s">
        <v>560</v>
      </c>
      <c r="C146" s="197">
        <f>IFERROR(AVERAGEIFS($J$111:$J$121,$J$111:$J$121,"&gt;180",$J$111:$J$121,"&lt;=500",$H$111:$H$121,"=Onshore",$D$111:$D$121,"=Saline"),0)</f>
        <v>333.33333333333331</v>
      </c>
      <c r="D146" s="197">
        <f>SUMIFS($I$111:$I$121,$J$111:$J$121,"&gt;180",$J$111:$J$121,"&lt;=500",$H$111:$H$121,"=Onshore",$D$111:$D$121,"=Saline")</f>
        <v>6.04</v>
      </c>
      <c r="E146" s="197">
        <f>IFERROR(AVERAGEIFS($J$111:$J$121,$J$111:$J$121,"&gt;180",$J$111:$J$121,"&lt;=500",$H$111:$H$121,"=Onshore",$D$111:$D$121,"=Carbon"),0)</f>
        <v>0</v>
      </c>
      <c r="F146" s="197">
        <f>SUMIFS($I$111:$I$121,$J$111:$J$121,"&gt;180",$J$111:$J$121,"&lt;=500",$H$111:$H$121,"=Onshore",$D$111:$D$121,"=Carbon")</f>
        <v>0</v>
      </c>
    </row>
    <row r="147" spans="1:13">
      <c r="A147" s="197" t="s">
        <v>400</v>
      </c>
      <c r="B147" s="197" t="s">
        <v>560</v>
      </c>
      <c r="C147" s="204">
        <f>IFERROR(AVERAGEIFS($J$111:$J$121,$J$111:$J$121,"&gt;180",$J$111:$J$121,"&lt;=500",$H$111:$H$121,"=Offshore",$D$111:$D$121,"=Saline"),0)</f>
        <v>423.33333333333331</v>
      </c>
      <c r="D147" s="197">
        <f>IFERROR(SUMIFS($I$111:$I$121,$J$111:$J$121,"&gt;180",$J$111:$J$121,"&lt;=500",$H$111:$H$121,"=Offshore",$D$111:$D$121,"=Saline"),0)</f>
        <v>1.2233333333333332</v>
      </c>
      <c r="E147" s="204">
        <f>IFERROR(AVERAGEIFS($J$111:$J$121,$J$111:$J$121,"&gt;180",$J$111:$J$121,"&lt;=500",$H$111:$H$121,"=Offshore",$D$111:$D$121,"=Carbon"),0)</f>
        <v>340</v>
      </c>
      <c r="F147" s="197">
        <f>IFERROR(SUMIFS($I$111:$I$121,$J$111:$J$121,"&gt;180",$J$111:$J$121,"&lt;=500",$H$111:$H$121,"=Offshore",$D$111:$D$121,"=Carbon"),0)</f>
        <v>1.1000000000000001</v>
      </c>
    </row>
    <row r="148" spans="1:13">
      <c r="A148" s="197" t="s">
        <v>399</v>
      </c>
      <c r="B148" s="197" t="s">
        <v>561</v>
      </c>
      <c r="C148" s="197">
        <f>IFERROR(AVERAGEIFS($J$111:$J$121,$J$111:$J$121,"&gt;500",$H$110:$H$120,"=Onshore",$D$111:$D$121,"=Saline"),0)</f>
        <v>0</v>
      </c>
      <c r="D148" s="197">
        <f>IFERROR(SUMIFS($I$111:$I$121,$J$111:$J$121,"&gt;500",$H$111:$H$121,"=Onshore",$D$111:$D$121,"=Saline"),0)</f>
        <v>0</v>
      </c>
      <c r="E148" s="197">
        <f>IFERROR(AVERAGEIFS($J$111:$J$121,$J$111:$J$121,"&gt;500",$H$110:$H$120,"=Onshore",$D$111:$D$121,"=Carbon"),0)</f>
        <v>0</v>
      </c>
      <c r="F148" s="197">
        <f>IFERROR(SUMIFS($I$111:$I$121,$J$111:$J$121,"&gt;500",$H$111:$H$121,"=Onshore",$D$111:$D$121,"=Carbon"),0)</f>
        <v>0</v>
      </c>
    </row>
    <row r="149" spans="1:13">
      <c r="A149" s="197" t="s">
        <v>400</v>
      </c>
      <c r="B149" s="197" t="s">
        <v>561</v>
      </c>
      <c r="C149" s="197">
        <f>IFERROR(AVERAGEIFS($J$111:$J$121,$J$111:$J$121,"&gt;500",$H$111:$H$121,"=Offshore",$D$111:$D$121,"=Saline"),0)</f>
        <v>880</v>
      </c>
      <c r="D149" s="197">
        <f>IFERROR(SUMIFS($I$111:$I$121,$J$111:$J$121,"&gt;500",$H$111:$H$121,"=Offshore",$D$111:$D$121,"=Saline"),0)</f>
        <v>6.9916666666666663</v>
      </c>
      <c r="E149" s="197">
        <f>IFERROR(AVERAGEIFS($J$111:$J$121,$J$111:$J$121,"&gt;500",$H$111:$H$121,"=Offshore",$D$111:$D$121,"=Carbon"),0)</f>
        <v>900</v>
      </c>
      <c r="F149" s="197">
        <f>IFERROR(SUMIFS($I$111:$I$121,$J$111:$J$121,"&gt;500",$H$111:$H$121,"=Offshore",$D$111:$D$121,"=Carbon"),0)</f>
        <v>1.5</v>
      </c>
    </row>
    <row r="153" spans="1:13">
      <c r="A153" s="197" t="s">
        <v>526</v>
      </c>
      <c r="B153" s="197" t="s">
        <v>527</v>
      </c>
      <c r="J153" s="197" t="s">
        <v>528</v>
      </c>
    </row>
    <row r="154" spans="1:13">
      <c r="B154" s="197" t="s">
        <v>452</v>
      </c>
      <c r="C154" s="197" t="s">
        <v>113</v>
      </c>
      <c r="D154" s="197" t="s">
        <v>562</v>
      </c>
      <c r="E154" s="197" t="s">
        <v>530</v>
      </c>
      <c r="F154" s="197" t="s">
        <v>531</v>
      </c>
      <c r="G154" s="197" t="s">
        <v>532</v>
      </c>
      <c r="H154" s="197" t="s">
        <v>533</v>
      </c>
      <c r="I154" s="197" t="s">
        <v>534</v>
      </c>
      <c r="J154" s="197" t="s">
        <v>535</v>
      </c>
      <c r="L154" s="197" t="s">
        <v>536</v>
      </c>
      <c r="M154" s="197" t="s">
        <v>537</v>
      </c>
    </row>
    <row r="155" spans="1:13">
      <c r="B155" s="197" t="s">
        <v>468</v>
      </c>
      <c r="C155" s="197" t="s">
        <v>563</v>
      </c>
      <c r="D155" s="197" t="s">
        <v>505</v>
      </c>
      <c r="E155" s="197" t="s">
        <v>483</v>
      </c>
      <c r="F155" s="197">
        <v>1</v>
      </c>
      <c r="G155" s="197" t="s">
        <v>482</v>
      </c>
      <c r="H155" s="212" t="s">
        <v>400</v>
      </c>
      <c r="I155" s="197">
        <f>I100</f>
        <v>0.6166666666666667</v>
      </c>
      <c r="J155" s="209">
        <v>180</v>
      </c>
      <c r="L155" s="197" t="s">
        <v>539</v>
      </c>
      <c r="M155" s="197" t="s">
        <v>564</v>
      </c>
    </row>
    <row r="156" spans="1:13">
      <c r="D156" s="197" t="s">
        <v>505</v>
      </c>
      <c r="E156" s="197" t="s">
        <v>485</v>
      </c>
      <c r="F156" s="197">
        <v>2</v>
      </c>
      <c r="G156" s="197" t="s">
        <v>484</v>
      </c>
      <c r="H156" s="212" t="s">
        <v>400</v>
      </c>
      <c r="I156" s="197">
        <f>I101</f>
        <v>0.46666666666666662</v>
      </c>
      <c r="J156" s="210">
        <v>250</v>
      </c>
      <c r="L156" s="197" t="s">
        <v>539</v>
      </c>
      <c r="M156" s="197" t="s">
        <v>565</v>
      </c>
    </row>
    <row r="157" spans="1:13">
      <c r="D157" s="197" t="s">
        <v>505</v>
      </c>
      <c r="E157" s="197" t="s">
        <v>494</v>
      </c>
      <c r="F157" s="197">
        <v>3</v>
      </c>
      <c r="G157" s="197" t="s">
        <v>493</v>
      </c>
      <c r="H157" s="212" t="s">
        <v>400</v>
      </c>
      <c r="I157" s="197">
        <f>I108</f>
        <v>6.9916666666666663</v>
      </c>
      <c r="J157" s="211">
        <v>560</v>
      </c>
      <c r="L157" s="197" t="s">
        <v>539</v>
      </c>
    </row>
    <row r="158" spans="1:13">
      <c r="D158" s="197" t="s">
        <v>542</v>
      </c>
      <c r="E158" s="197" t="s">
        <v>495</v>
      </c>
      <c r="F158" s="197" t="s">
        <v>566</v>
      </c>
      <c r="G158" s="197" t="s">
        <v>493</v>
      </c>
      <c r="H158" s="212" t="s">
        <v>400</v>
      </c>
      <c r="I158" s="197">
        <f>I109</f>
        <v>1.5</v>
      </c>
      <c r="J158" s="211">
        <v>580</v>
      </c>
      <c r="L158" s="197" t="s">
        <v>539</v>
      </c>
    </row>
    <row r="159" spans="1:13">
      <c r="D159" s="197" t="s">
        <v>542</v>
      </c>
      <c r="E159" s="197" t="s">
        <v>496</v>
      </c>
      <c r="F159" s="197" t="s">
        <v>567</v>
      </c>
      <c r="G159" s="197" t="s">
        <v>493</v>
      </c>
      <c r="H159" s="212" t="s">
        <v>400</v>
      </c>
      <c r="I159" s="197">
        <f>H87</f>
        <v>3</v>
      </c>
      <c r="J159" s="211">
        <v>1350</v>
      </c>
      <c r="L159" s="197" t="s">
        <v>539</v>
      </c>
    </row>
    <row r="160" spans="1:13">
      <c r="D160" s="197" t="s">
        <v>542</v>
      </c>
      <c r="E160" s="197" t="s">
        <v>497</v>
      </c>
      <c r="F160" s="197" t="s">
        <v>568</v>
      </c>
      <c r="G160" s="197" t="s">
        <v>493</v>
      </c>
      <c r="H160" s="212" t="s">
        <v>400</v>
      </c>
      <c r="I160" s="197">
        <f>I159</f>
        <v>3</v>
      </c>
      <c r="J160" s="211">
        <v>2000</v>
      </c>
      <c r="L160" s="197" t="s">
        <v>539</v>
      </c>
    </row>
    <row r="161" spans="1:13">
      <c r="D161" s="197" t="s">
        <v>505</v>
      </c>
      <c r="E161" s="197" t="s">
        <v>499</v>
      </c>
      <c r="F161" s="197">
        <v>5</v>
      </c>
      <c r="G161" s="197" t="s">
        <v>493</v>
      </c>
      <c r="H161" s="212" t="s">
        <v>400</v>
      </c>
      <c r="I161" s="197">
        <f>H89</f>
        <v>2.6666666666666665</v>
      </c>
      <c r="J161" s="211">
        <v>1350</v>
      </c>
      <c r="L161" s="197" t="s">
        <v>539</v>
      </c>
    </row>
    <row r="162" spans="1:13">
      <c r="D162" s="197" t="s">
        <v>505</v>
      </c>
      <c r="F162" s="197" t="s">
        <v>508</v>
      </c>
      <c r="J162" s="197" t="s">
        <v>547</v>
      </c>
    </row>
    <row r="163" spans="1:13">
      <c r="C163" s="197" t="s">
        <v>513</v>
      </c>
      <c r="D163" s="197" t="s">
        <v>514</v>
      </c>
      <c r="E163" s="197" t="s">
        <v>513</v>
      </c>
      <c r="F163" s="197" t="s">
        <v>514</v>
      </c>
    </row>
    <row r="164" spans="1:13">
      <c r="A164" s="197" t="s">
        <v>399</v>
      </c>
      <c r="B164" s="197" t="s">
        <v>557</v>
      </c>
      <c r="C164" s="197">
        <f>IFERROR(AVERAGEIFS($J$155:$J$161,$J$155:$J$161,"&lt;=180",$H$155:$H$161,"=Onshore",$D$155:$D$161,"=Saline"),0)</f>
        <v>0</v>
      </c>
      <c r="D164" s="197">
        <f>IFERROR(SUMIFS($I$155:$I$161,$J$155:$J$161,"&lt;=180",$H$155:$H$161,"=Onshore",$D$155:$D$161,"=Saline"),0)</f>
        <v>0</v>
      </c>
      <c r="E164" s="197">
        <f>IFERROR(AVERAGEIFS($J$155:$J$161,$J$155:$J$161,"&lt;=180",$H$155:$H$161,"=Onshore",$D$155:$D$161,"=Carbon"),0)</f>
        <v>0</v>
      </c>
      <c r="F164" s="197">
        <f>IFERROR(SUMIFS($I$155:$I$161,$J$155:$J$161,"&lt;=180",$H$155:$H$161,"=Onshore",$D$155:$D$161,"=Carbon"),0)</f>
        <v>0</v>
      </c>
    </row>
    <row r="165" spans="1:13">
      <c r="A165" s="197" t="s">
        <v>400</v>
      </c>
      <c r="B165" s="197" t="s">
        <v>557</v>
      </c>
      <c r="C165" s="197">
        <f>IFERROR(AVERAGEIFS($J$155:$J$161,$J$155:$J$161,"&lt;=180",$H$155:$H$161,"=Offshore",$D$155:$D$161,"=Saline"),0)</f>
        <v>180</v>
      </c>
      <c r="D165" s="197">
        <f>IFERROR(SUMIFS($I$155:$I$161,$J$155:$J$161,"&lt;=180",$H$155:$H$161,"=Offshore",$D$155:$D$161,"=Saline"),0)</f>
        <v>0.6166666666666667</v>
      </c>
      <c r="E165" s="197">
        <f>IFERROR(AVERAGEIFS($J$155:$J$161,$J$155:$J$161,"&lt;=180",$H$155:$H$161,"=Offshore",$D$155:$D$161,"=Carbon"),0)</f>
        <v>0</v>
      </c>
      <c r="F165" s="197">
        <f>IFERROR(SUMIFS($I$155:$I$161,$J$155:$J$161,"&lt;=180",$H$155:$H$161,"=Offshore",$D$155:$D$161,"=Carbon"),0)</f>
        <v>0</v>
      </c>
    </row>
    <row r="166" spans="1:13">
      <c r="A166" s="197" t="s">
        <v>399</v>
      </c>
      <c r="B166" s="197" t="s">
        <v>560</v>
      </c>
      <c r="C166" s="197">
        <f>IFERROR(AVERAGEIFS($J$155:$J$161,$J$155:$J$161,"&gt;180",$J$155:$J$161,"&lt;=500",$H$155:$H$161,"=Onshore",$D$155:$D$161,"=Saline"),0)</f>
        <v>0</v>
      </c>
      <c r="D166" s="197">
        <f>SUMIFS($I$155:$I$161,$J$155:$J$161,"&gt;180",$J$155:$J$161,"&lt;=500",$H$155:$H$161,"=Onshore",$D$155:$D$161,"=Saline")</f>
        <v>0</v>
      </c>
      <c r="E166" s="197">
        <f>IFERROR(AVERAGEIFS($J$155:$J$161,$J$155:$J$161,"&gt;180",$J$155:$J$161,"&lt;=500",$H$155:$H$161,"=Onshore",$D$155:$D$161,"=Carbon"),0)</f>
        <v>0</v>
      </c>
      <c r="F166" s="197">
        <f>SUMIFS($I$155:$I$161,$J$155:$J$161,"&gt;180",$J$155:$J$161,"&lt;=500",$H$155:$H$161,"=Onshore",$D$155:$D$161,"=Carbon")</f>
        <v>0</v>
      </c>
    </row>
    <row r="167" spans="1:13">
      <c r="A167" s="197" t="s">
        <v>400</v>
      </c>
      <c r="B167" s="197" t="s">
        <v>560</v>
      </c>
      <c r="C167" s="204">
        <f>IFERROR(AVERAGEIFS($J$155:$J$161,$J$155:$J$161,"&gt;180",$J$155:$J$161,"&lt;=500",$H$155:$H$161,"=Offshore",$D$155:$D$161,"=Saline"),0)</f>
        <v>250</v>
      </c>
      <c r="D167" s="197">
        <f>IFERROR(SUMIFS($I$155:$I$161,$J$155:$J$161,"&gt;180",$J$155:$J$161,"&lt;=500",$H$155:$H$161,"=Offshore",$D$155:$D$161,"=Saline"),0)</f>
        <v>0.46666666666666662</v>
      </c>
      <c r="E167" s="204">
        <f>IFERROR(AVERAGEIFS($J$155:$J$161,$J$155:$J$161,"&gt;180",$J$155:$J$161,"&lt;=500",$H$155:$H$161,"=Offshore",$D$155:$D$161,"=Carbon"),0)</f>
        <v>0</v>
      </c>
      <c r="F167" s="197">
        <f>IFERROR(SUMIFS($I$155:$I$161,$J$155:$J$161,"&gt;180",$J$155:$J$161,"&lt;=500",$H$155:$H$161,"=Offshore",$D$155:$D$161,"=Carbon"),0)</f>
        <v>0</v>
      </c>
    </row>
    <row r="168" spans="1:13">
      <c r="A168" s="197" t="s">
        <v>399</v>
      </c>
      <c r="B168" s="197" t="s">
        <v>561</v>
      </c>
      <c r="C168" s="197">
        <f>IFERROR(AVERAGEIFS($J$155:$J$161,$J$155:$J$161,"&gt;500",$H$155:$H$161,"=Onshore",$D$155:$D$161,"=Saline"),0)</f>
        <v>0</v>
      </c>
      <c r="D168" s="197">
        <f>IFERROR(SUMIFS($I$155:$I$161,$J$155:$J$161,"&gt;500",$H$155:$H$161,"=Onshore",$D$155:$D$161,"=Saline"),0)</f>
        <v>0</v>
      </c>
      <c r="E168" s="197">
        <f>IFERROR(AVERAGEIFS($J$155:$J$161,$J$155:$J$161,"&gt;500",$H$155:$H$161,"=Onshore",$D$155:$D$161,"=Carbon"),0)</f>
        <v>0</v>
      </c>
      <c r="F168" s="197">
        <f>IFERROR(SUMIFS($I$155:$I$161,$J$155:$J$161,"&gt;500",$H$155:$H$161,"=Onshore",$D$155:$D$161,"=Carbon"),0)</f>
        <v>0</v>
      </c>
    </row>
    <row r="169" spans="1:13">
      <c r="A169" s="197" t="s">
        <v>400</v>
      </c>
      <c r="B169" s="197" t="s">
        <v>561</v>
      </c>
      <c r="C169" s="197">
        <f>IFERROR(AVERAGEIFS($J$155:$J$161,$J$155:$J$161,"&gt;500",$H$155:$H$161,"=Offshore",$D$155:$D$161,"=Saline"),0)</f>
        <v>955</v>
      </c>
      <c r="D169" s="197">
        <f>IFERROR(SUMIFS($I$155:$I$161,$J$155:$J$161,"&gt;500",$H$155:$H$161,"=Offshore",$D$155:$D$161,"=Saline"),0)</f>
        <v>9.6583333333333332</v>
      </c>
      <c r="E169" s="197">
        <f>IFERROR(AVERAGEIFS($J$155:$J$161,$J$155:$J$161,"&gt;500",$H$155:$H$161,"=Offshore",$D$155:$D$161,"=Carbon"),0)</f>
        <v>1310</v>
      </c>
      <c r="F169" s="197">
        <f>IFERROR(SUMIFS($I$155:$I$161,$J$155:$J$161,"&gt;500",$H$155:$H$161,"=Offshore",$D$155:$D$161,"=Carbon"),0)</f>
        <v>7.5</v>
      </c>
    </row>
    <row r="172" spans="1:13">
      <c r="A172" s="197" t="s">
        <v>526</v>
      </c>
      <c r="B172" s="197" t="s">
        <v>569</v>
      </c>
      <c r="J172" s="197" t="s">
        <v>528</v>
      </c>
    </row>
    <row r="173" spans="1:13">
      <c r="B173" s="197" t="s">
        <v>452</v>
      </c>
      <c r="C173" s="197" t="s">
        <v>113</v>
      </c>
      <c r="D173" s="197" t="s">
        <v>562</v>
      </c>
      <c r="E173" s="197" t="s">
        <v>530</v>
      </c>
      <c r="F173" s="197" t="s">
        <v>531</v>
      </c>
      <c r="G173" s="197" t="s">
        <v>532</v>
      </c>
      <c r="H173" s="197" t="s">
        <v>533</v>
      </c>
      <c r="I173" s="197" t="s">
        <v>534</v>
      </c>
      <c r="J173" s="197" t="s">
        <v>535</v>
      </c>
      <c r="L173" s="197" t="s">
        <v>536</v>
      </c>
      <c r="M173" s="197" t="s">
        <v>537</v>
      </c>
    </row>
    <row r="174" spans="1:13">
      <c r="B174" s="197" t="s">
        <v>470</v>
      </c>
      <c r="C174" s="197" t="s">
        <v>570</v>
      </c>
      <c r="D174" s="197" t="s">
        <v>505</v>
      </c>
      <c r="E174" s="197" t="str">
        <f t="shared" ref="E174:F180" si="9">E155</f>
        <v>Gassum Aquifer</v>
      </c>
      <c r="F174" s="197">
        <f t="shared" si="9"/>
        <v>1</v>
      </c>
      <c r="G174" s="197" t="s">
        <v>482</v>
      </c>
      <c r="H174" s="197" t="s">
        <v>400</v>
      </c>
      <c r="I174" s="197">
        <f t="shared" ref="I174:I180" si="10">I155</f>
        <v>0.6166666666666667</v>
      </c>
      <c r="J174" s="197">
        <v>350</v>
      </c>
      <c r="L174" s="197" t="s">
        <v>539</v>
      </c>
      <c r="M174" s="197" t="s">
        <v>565</v>
      </c>
    </row>
    <row r="175" spans="1:13">
      <c r="D175" s="197" t="s">
        <v>505</v>
      </c>
      <c r="E175" s="197" t="str">
        <f t="shared" si="9"/>
        <v>Hanstholm structure</v>
      </c>
      <c r="F175" s="197">
        <f t="shared" si="9"/>
        <v>2</v>
      </c>
      <c r="G175" s="197" t="s">
        <v>484</v>
      </c>
      <c r="H175" s="197" t="s">
        <v>400</v>
      </c>
      <c r="I175" s="197">
        <f t="shared" si="10"/>
        <v>0.46666666666666662</v>
      </c>
      <c r="J175" s="197">
        <v>310</v>
      </c>
      <c r="L175" s="197" t="s">
        <v>539</v>
      </c>
    </row>
    <row r="176" spans="1:13">
      <c r="D176" s="197" t="s">
        <v>505</v>
      </c>
      <c r="E176" s="197" t="str">
        <f t="shared" si="9"/>
        <v>Norway South accumulated (Heimdal, Frigg, Krossfjord, Flensfjord, Johannes, Skade, Sognefjord, Statfjord)</v>
      </c>
      <c r="F176" s="197">
        <f t="shared" si="9"/>
        <v>3</v>
      </c>
      <c r="G176" s="197" t="s">
        <v>493</v>
      </c>
      <c r="H176" s="197" t="s">
        <v>400</v>
      </c>
      <c r="I176" s="197">
        <f t="shared" si="10"/>
        <v>6.9916666666666663</v>
      </c>
      <c r="J176" s="197">
        <v>150</v>
      </c>
      <c r="L176" s="197" t="s">
        <v>539</v>
      </c>
    </row>
    <row r="177" spans="1:13">
      <c r="D177" s="197" t="s">
        <v>542</v>
      </c>
      <c r="E177" s="197" t="str">
        <f t="shared" si="9"/>
        <v>Norway southern hydrocarbon fields</v>
      </c>
      <c r="F177" s="197" t="str">
        <f t="shared" si="9"/>
        <v>4a</v>
      </c>
      <c r="G177" s="197" t="s">
        <v>493</v>
      </c>
      <c r="H177" s="197" t="s">
        <v>400</v>
      </c>
      <c r="I177" s="197">
        <f t="shared" si="10"/>
        <v>1.5</v>
      </c>
      <c r="J177" s="197">
        <v>150</v>
      </c>
      <c r="L177" s="197" t="s">
        <v>539</v>
      </c>
    </row>
    <row r="178" spans="1:13">
      <c r="D178" s="197" t="s">
        <v>542</v>
      </c>
      <c r="E178" s="197" t="str">
        <f t="shared" si="9"/>
        <v>Norway middle hydrocarbon fields</v>
      </c>
      <c r="F178" s="197" t="str">
        <f t="shared" si="9"/>
        <v>4b</v>
      </c>
      <c r="G178" s="197" t="s">
        <v>493</v>
      </c>
      <c r="H178" s="197" t="s">
        <v>400</v>
      </c>
      <c r="I178" s="197">
        <f t="shared" si="10"/>
        <v>3</v>
      </c>
      <c r="J178" s="197">
        <v>720</v>
      </c>
      <c r="L178" s="197" t="s">
        <v>539</v>
      </c>
    </row>
    <row r="179" spans="1:13">
      <c r="D179" s="197" t="s">
        <v>542</v>
      </c>
      <c r="E179" s="197" t="str">
        <f t="shared" si="9"/>
        <v>Norway northern hydrocarbon fields</v>
      </c>
      <c r="F179" s="197" t="str">
        <f t="shared" si="9"/>
        <v>4c</v>
      </c>
      <c r="G179" s="197" t="s">
        <v>493</v>
      </c>
      <c r="H179" s="197" t="s">
        <v>400</v>
      </c>
      <c r="I179" s="197">
        <f t="shared" si="10"/>
        <v>3</v>
      </c>
      <c r="J179" s="197">
        <v>1500</v>
      </c>
      <c r="L179" s="197" t="s">
        <v>539</v>
      </c>
    </row>
    <row r="180" spans="1:13">
      <c r="D180" s="197" t="s">
        <v>505</v>
      </c>
      <c r="E180" s="197" t="str">
        <f t="shared" si="9"/>
        <v>Gran formation</v>
      </c>
      <c r="F180" s="197">
        <f t="shared" si="9"/>
        <v>5</v>
      </c>
      <c r="G180" s="197" t="s">
        <v>493</v>
      </c>
      <c r="H180" s="197" t="s">
        <v>400</v>
      </c>
      <c r="I180" s="197">
        <f t="shared" si="10"/>
        <v>2.6666666666666665</v>
      </c>
      <c r="J180" s="197">
        <f>J178</f>
        <v>720</v>
      </c>
      <c r="L180" s="197" t="s">
        <v>539</v>
      </c>
    </row>
    <row r="181" spans="1:13">
      <c r="D181" s="197" t="s">
        <v>505</v>
      </c>
      <c r="F181" s="197" t="s">
        <v>508</v>
      </c>
      <c r="J181" s="197" t="s">
        <v>547</v>
      </c>
    </row>
    <row r="182" spans="1:13">
      <c r="C182" s="197" t="s">
        <v>513</v>
      </c>
      <c r="D182" s="197" t="s">
        <v>514</v>
      </c>
      <c r="E182" s="197" t="s">
        <v>513</v>
      </c>
      <c r="F182" s="197" t="s">
        <v>514</v>
      </c>
    </row>
    <row r="183" spans="1:13">
      <c r="A183" s="197" t="s">
        <v>399</v>
      </c>
      <c r="B183" s="197" t="s">
        <v>557</v>
      </c>
      <c r="C183" s="197">
        <f>IFERROR(AVERAGEIFS($J$174:$J$180,$J$174:$J$180,"&lt;=180",$H$174:$H$180,"=Onshore",$D$174:$D$180,"=Saline"),0)</f>
        <v>0</v>
      </c>
      <c r="D183" s="197">
        <f>IFERROR(SUMIFS($I$174:$I$180,$J$174:$J$180,"&lt;=180",$H$174:$H$180,"=Onshore",$D$174:$D$180,"=Saline"),0)</f>
        <v>0</v>
      </c>
      <c r="E183" s="197">
        <f>IFERROR(AVERAGEIFS($J$174:$J$180,$J$174:$J$180,"&lt;=180",$H$174:$H$180,"=Onshore",$D$174:$D$180,"=Carbon"),0)</f>
        <v>0</v>
      </c>
      <c r="F183" s="197">
        <f>IFERROR(SUMIFS($I$174:$I$180,$J$174:$J$180,"&lt;=180",$H$174:$H$180,"=Onshore",$D$174:$D$180,"=Carbon"),0)</f>
        <v>0</v>
      </c>
    </row>
    <row r="184" spans="1:13">
      <c r="A184" s="197" t="s">
        <v>400</v>
      </c>
      <c r="B184" s="197" t="s">
        <v>557</v>
      </c>
      <c r="C184" s="197">
        <f>IFERROR(AVERAGEIFS($J$174:$J$180,$J$174:$J$180,"&lt;=180",$H$174:$H$180,"=Offshore",$D$174:$D$180,"=Saline"),0)</f>
        <v>150</v>
      </c>
      <c r="D184" s="197">
        <f>IFERROR(SUMIFS($I$174:$I$180,$J$174:$J$180,"&lt;=180",$H$174:$H$180,"=Offshore",$D$174:$D$180,"=Saline"),0)</f>
        <v>6.9916666666666663</v>
      </c>
      <c r="E184" s="197">
        <f>IFERROR(AVERAGEIFS($J$174:$J$180,$J$174:$J$180,"&lt;=180",$H$174:$H$180,"=Offshore",$D$174:$D$180,"=Carbon"),0)</f>
        <v>150</v>
      </c>
      <c r="F184" s="197">
        <f>IFERROR(SUMIFS($I$174:$I$180,$J$174:$J$180,"&lt;=180",$H$174:$H$180,"=Offshore",$D$174:$D$180,"=Carbon"),0)</f>
        <v>1.5</v>
      </c>
    </row>
    <row r="185" spans="1:13">
      <c r="A185" s="197" t="s">
        <v>399</v>
      </c>
      <c r="B185" s="197" t="s">
        <v>560</v>
      </c>
      <c r="C185" s="197">
        <f>IFERROR(AVERAGEIFS($J$174:$J$180,$J$174:$J$180,"&gt;180",$J$174:$J$180,"&lt;=500",$H$174:$H$180,"=Onshore",$D$174:$D$180,"=Saline"),0)</f>
        <v>0</v>
      </c>
      <c r="D185" s="197">
        <f>SUMIFS($I$174:$I$180,$J$174:$J$180,"&gt;180",$J$174:$J$180,"&lt;=500",$H$174:$H$180,"=Onshore",$D$174:$D$180,"=Saline")</f>
        <v>0</v>
      </c>
      <c r="E185" s="197">
        <f>IFERROR(AVERAGEIFS($J$174:$J$180,$J$174:$J$180,"&gt;180",$J$174:$J$180,"&lt;=500",$H$174:$H$180,"=Onshore",$D$174:$D$180,"=Carbon"),0)</f>
        <v>0</v>
      </c>
      <c r="F185" s="197">
        <f>SUMIFS($I$174:$I$180,$J$174:$J$180,"&gt;180",$J$174:$J$180,"&lt;=500",$H$174:$H$180,"=Onshore",$D$174:$D$180,"=Carbon")</f>
        <v>0</v>
      </c>
    </row>
    <row r="186" spans="1:13">
      <c r="A186" s="197" t="s">
        <v>400</v>
      </c>
      <c r="B186" s="197" t="s">
        <v>560</v>
      </c>
      <c r="C186" s="204">
        <f>IFERROR(AVERAGEIFS($J$174:$J$180,$J$174:$J$180,"&gt;180",$J$174:$J$180,"&lt;=500",$H$174:$H$180,"=Offshore",$D$174:$D$180,"=Saline"),0)</f>
        <v>330</v>
      </c>
      <c r="D186" s="197">
        <f>IFERROR(SUMIFS($I$174:$I$180,$J$174:$J$180,"&gt;180",$J$174:$J$180,"&lt;=500",$H$174:$H$180,"=Offshore",$D$174:$D$180,"=Saline"),0)</f>
        <v>1.0833333333333333</v>
      </c>
      <c r="E186" s="204">
        <f>IFERROR(AVERAGEIFS($J$174:$J$180,$J$174:$J$180,"&gt;180",$J$174:$J$180,"&lt;=500",$H$174:$H$180,"=Offshore",$D$174:$D$180,"=Carbon"),0)</f>
        <v>0</v>
      </c>
      <c r="F186" s="197">
        <f>IFERROR(SUMIFS($I$174:$I$180,$J$174:$J$180,"&gt;180",$J$174:$J$180,"&lt;=500",$H$174:$H$180,"=Offshore",$D$174:$D$180,"=Carbon"),0)</f>
        <v>0</v>
      </c>
    </row>
    <row r="187" spans="1:13">
      <c r="A187" s="197" t="s">
        <v>399</v>
      </c>
      <c r="B187" s="197" t="s">
        <v>561</v>
      </c>
      <c r="C187" s="197">
        <f>IFERROR(AVERAGEIFS($J$174:$J$180,$J$174:$J$180,"&gt;500",$H$174:$H$180,"=Onshore",$D$174:$D$180,"=Saline"),0)</f>
        <v>0</v>
      </c>
      <c r="D187" s="197">
        <f>IFERROR(SUMIFS($I$174:$I$180,$J$174:$J$180,"&gt;500",$H$174:$H$180,"=Onshore",$D$174:$D$180,"=Saline"),0)</f>
        <v>0</v>
      </c>
      <c r="E187" s="197">
        <f>IFERROR(AVERAGEIFS($J$174:$J$180,$J$174:$J$180,"&gt;500",$H$174:$H$180,"=Onshore",$D$174:$D$180,"=Carbon"),0)</f>
        <v>0</v>
      </c>
      <c r="F187" s="197">
        <f>IFERROR(SUMIFS($I$174:$I$180,$J$174:$J$180,"&gt;500",$H$174:$H$180,"=Onshore",$D$174:$D$180,"=Carbon"),0)</f>
        <v>0</v>
      </c>
    </row>
    <row r="188" spans="1:13">
      <c r="A188" s="197" t="s">
        <v>400</v>
      </c>
      <c r="B188" s="197" t="s">
        <v>561</v>
      </c>
      <c r="C188" s="197">
        <f>IFERROR(AVERAGEIFS($J$174:$J$180,$J$174:$J$180,"&gt;500",$H$174:$H$180,"=Offshore",$D$174:$D$180,"=Saline"),0)</f>
        <v>720</v>
      </c>
      <c r="D188" s="197">
        <f>IFERROR(SUMIFS($I$174:$I$180,$J$174:$J$180,"&gt;500",$H$174:$H$180,"=Offshore",$D$174:$D$180,"=Saline"),0)</f>
        <v>2.6666666666666665</v>
      </c>
      <c r="E188" s="197">
        <f>IFERROR(AVERAGEIFS($J$174:$J$180,$J$174:$J$180,"&gt;500",$H$174:$H$180,"=Offshore",$D$174:$D$180,"=Carbon"),0)</f>
        <v>1110</v>
      </c>
      <c r="F188" s="197">
        <f>IFERROR(SUMIFS($I$174:$I$180,$J$174:$J$180,"&gt;500",$H$174:$H$180,"=Offshore",$D$174:$D$180,"=Carbon"),0)</f>
        <v>6</v>
      </c>
    </row>
    <row r="190" spans="1:13">
      <c r="A190" s="197" t="s">
        <v>526</v>
      </c>
      <c r="B190" s="197" t="s">
        <v>569</v>
      </c>
      <c r="J190" s="197" t="s">
        <v>528</v>
      </c>
    </row>
    <row r="191" spans="1:13">
      <c r="B191" s="197" t="s">
        <v>452</v>
      </c>
      <c r="C191" s="197" t="s">
        <v>113</v>
      </c>
      <c r="D191" s="197" t="s">
        <v>562</v>
      </c>
      <c r="E191" s="197" t="s">
        <v>530</v>
      </c>
      <c r="F191" s="197" t="s">
        <v>531</v>
      </c>
      <c r="G191" s="197" t="s">
        <v>532</v>
      </c>
      <c r="H191" s="197" t="s">
        <v>533</v>
      </c>
      <c r="I191" s="197" t="s">
        <v>534</v>
      </c>
      <c r="J191" s="197" t="s">
        <v>535</v>
      </c>
      <c r="L191" s="197" t="s">
        <v>536</v>
      </c>
      <c r="M191" s="197" t="s">
        <v>537</v>
      </c>
    </row>
    <row r="192" spans="1:13">
      <c r="B192" s="197" t="s">
        <v>473</v>
      </c>
      <c r="C192" s="197" t="s">
        <v>571</v>
      </c>
      <c r="D192" s="197" t="s">
        <v>505</v>
      </c>
      <c r="E192" s="197" t="str">
        <f t="shared" ref="E192:F198" si="11">E174</f>
        <v>Gassum Aquifer</v>
      </c>
      <c r="F192" s="197">
        <f t="shared" si="11"/>
        <v>1</v>
      </c>
      <c r="G192" s="197" t="s">
        <v>482</v>
      </c>
      <c r="H192" s="197" t="s">
        <v>400</v>
      </c>
      <c r="I192" s="197">
        <f t="shared" ref="I192:I198" si="12">I174</f>
        <v>0.6166666666666667</v>
      </c>
      <c r="J192" s="197">
        <v>540</v>
      </c>
      <c r="L192" s="197" t="s">
        <v>539</v>
      </c>
      <c r="M192" s="197" t="s">
        <v>565</v>
      </c>
    </row>
    <row r="193" spans="1:12">
      <c r="D193" s="197" t="s">
        <v>505</v>
      </c>
      <c r="E193" s="197" t="str">
        <f t="shared" si="11"/>
        <v>Hanstholm structure</v>
      </c>
      <c r="F193" s="197">
        <f t="shared" si="11"/>
        <v>2</v>
      </c>
      <c r="G193" s="197" t="s">
        <v>484</v>
      </c>
      <c r="H193" s="197" t="s">
        <v>400</v>
      </c>
      <c r="I193" s="197">
        <f t="shared" si="12"/>
        <v>0.46666666666666662</v>
      </c>
      <c r="J193" s="197">
        <v>500</v>
      </c>
      <c r="L193" s="197" t="s">
        <v>539</v>
      </c>
    </row>
    <row r="194" spans="1:12">
      <c r="D194" s="197" t="s">
        <v>505</v>
      </c>
      <c r="E194" s="197" t="str">
        <f t="shared" si="11"/>
        <v>Norway South accumulated (Heimdal, Frigg, Krossfjord, Flensfjord, Johannes, Skade, Sognefjord, Statfjord)</v>
      </c>
      <c r="F194" s="197">
        <f t="shared" si="11"/>
        <v>3</v>
      </c>
      <c r="G194" s="197" t="s">
        <v>493</v>
      </c>
      <c r="H194" s="197" t="s">
        <v>400</v>
      </c>
      <c r="I194" s="197">
        <f t="shared" si="12"/>
        <v>6.9916666666666663</v>
      </c>
      <c r="J194" s="197">
        <v>180</v>
      </c>
      <c r="L194" s="197" t="s">
        <v>539</v>
      </c>
    </row>
    <row r="195" spans="1:12">
      <c r="D195" s="197" t="s">
        <v>542</v>
      </c>
      <c r="E195" s="197" t="str">
        <f t="shared" si="11"/>
        <v>Norway southern hydrocarbon fields</v>
      </c>
      <c r="F195" s="197" t="str">
        <f t="shared" si="11"/>
        <v>4a</v>
      </c>
      <c r="G195" s="197" t="s">
        <v>493</v>
      </c>
      <c r="H195" s="197" t="s">
        <v>400</v>
      </c>
      <c r="I195" s="197">
        <f t="shared" si="12"/>
        <v>1.5</v>
      </c>
      <c r="J195" s="197">
        <v>180</v>
      </c>
      <c r="L195" s="197" t="s">
        <v>539</v>
      </c>
    </row>
    <row r="196" spans="1:12">
      <c r="D196" s="197" t="s">
        <v>542</v>
      </c>
      <c r="E196" s="197" t="str">
        <f t="shared" si="11"/>
        <v>Norway middle hydrocarbon fields</v>
      </c>
      <c r="F196" s="197" t="str">
        <f t="shared" si="11"/>
        <v>4b</v>
      </c>
      <c r="G196" s="197" t="s">
        <v>493</v>
      </c>
      <c r="H196" s="197" t="s">
        <v>400</v>
      </c>
      <c r="I196" s="197">
        <f t="shared" si="12"/>
        <v>3</v>
      </c>
      <c r="J196" s="197">
        <v>600</v>
      </c>
      <c r="L196" s="197" t="s">
        <v>539</v>
      </c>
    </row>
    <row r="197" spans="1:12">
      <c r="D197" s="197" t="s">
        <v>542</v>
      </c>
      <c r="E197" s="197" t="str">
        <f t="shared" si="11"/>
        <v>Norway northern hydrocarbon fields</v>
      </c>
      <c r="F197" s="197" t="str">
        <f t="shared" si="11"/>
        <v>4c</v>
      </c>
      <c r="G197" s="197" t="s">
        <v>493</v>
      </c>
      <c r="H197" s="197" t="s">
        <v>400</v>
      </c>
      <c r="I197" s="197">
        <f t="shared" si="12"/>
        <v>3</v>
      </c>
      <c r="J197" s="197">
        <v>1250</v>
      </c>
      <c r="L197" s="197" t="s">
        <v>539</v>
      </c>
    </row>
    <row r="198" spans="1:12">
      <c r="D198" s="197" t="s">
        <v>505</v>
      </c>
      <c r="E198" s="197" t="str">
        <f t="shared" si="11"/>
        <v>Gran formation</v>
      </c>
      <c r="F198" s="197">
        <f t="shared" si="11"/>
        <v>5</v>
      </c>
      <c r="G198" s="197" t="s">
        <v>493</v>
      </c>
      <c r="H198" s="197" t="s">
        <v>400</v>
      </c>
      <c r="I198" s="197">
        <f t="shared" si="12"/>
        <v>2.6666666666666665</v>
      </c>
      <c r="J198" s="197">
        <f>J196</f>
        <v>600</v>
      </c>
      <c r="L198" s="197" t="s">
        <v>539</v>
      </c>
    </row>
    <row r="200" spans="1:12">
      <c r="D200" s="197" t="s">
        <v>505</v>
      </c>
      <c r="F200" s="197" t="s">
        <v>508</v>
      </c>
    </row>
    <row r="201" spans="1:12">
      <c r="C201" s="197" t="s">
        <v>513</v>
      </c>
      <c r="D201" s="197" t="s">
        <v>514</v>
      </c>
      <c r="E201" s="197" t="s">
        <v>513</v>
      </c>
      <c r="F201" s="197" t="s">
        <v>514</v>
      </c>
      <c r="J201" s="197" t="s">
        <v>547</v>
      </c>
    </row>
    <row r="202" spans="1:12">
      <c r="A202" s="197" t="s">
        <v>399</v>
      </c>
      <c r="B202" s="197" t="s">
        <v>557</v>
      </c>
      <c r="C202" s="197">
        <f>IFERROR(AVERAGEIFS($J$192:$J$198,$J$192:$J$198,"&lt;=180",$H$192:$H$198,"=Onshore",$D$192:$D$198,"=Saline"),0)</f>
        <v>0</v>
      </c>
      <c r="D202" s="197">
        <f>IFERROR(SUMIFS($I$192:$I$198,$J$192:$J$198,"&lt;=180",$H$192:$H$198,"=Onshore",$D$192:$D$198,"=Saline"),0)</f>
        <v>0</v>
      </c>
      <c r="E202" s="197">
        <f>IFERROR(AVERAGEIFS($J$192:$J$198,$J$192:$J$198,"&lt;=180",$H$192:$H$198,"=Onshore",$D$192:$D$198,"=Carbon"),0)</f>
        <v>0</v>
      </c>
      <c r="F202" s="197">
        <f>IFERROR(SUMIFS($I$192:$I$198,$J$192:$J$198,"&lt;=180",$H$192:$H$198,"=Onshore",$D$192:$D$198,"=Carbon"),0)</f>
        <v>0</v>
      </c>
    </row>
    <row r="203" spans="1:12">
      <c r="A203" s="197" t="s">
        <v>400</v>
      </c>
      <c r="B203" s="197" t="s">
        <v>557</v>
      </c>
      <c r="C203" s="197">
        <f>IFERROR(AVERAGEIFS($J$192:$J$198,$J$192:$J$198,"&lt;=180",$H$192:$H$198,"=Offshore",$D$192:$D$198,"=Saline"),0)</f>
        <v>180</v>
      </c>
      <c r="D203" s="197">
        <f>IFERROR(SUMIFS($I$192:$I$198,$J$192:$J$198,"&lt;=180",$H$192:$H$198,"=Offshore",$D$192:$D$198,"=Saline"),0)</f>
        <v>6.9916666666666663</v>
      </c>
      <c r="E203" s="197">
        <f>IFERROR(AVERAGEIFS($J$192:$J$198,$J$192:$J$198,"&lt;=180",$H$192:$H$198,"=Offshore",$D$192:$D$198,"=Carbon"),0)</f>
        <v>180</v>
      </c>
      <c r="F203" s="197">
        <f>IFERROR(SUMIFS($I$192:$I$198,$J$192:$J$198,"&lt;=180",$H$192:$H$198,"=Offshore",$D$192:$D$198,"=Carbon"),0)</f>
        <v>1.5</v>
      </c>
    </row>
    <row r="204" spans="1:12">
      <c r="A204" s="197" t="s">
        <v>399</v>
      </c>
      <c r="B204" s="197" t="s">
        <v>560</v>
      </c>
      <c r="C204" s="197">
        <f>IFERROR(AVERAGEIFS($J$192:$J$198,$J$192:$J$198,"&gt;180",$J$192:$J$198,"&lt;=500",$H$192:$H$198,"=Onshore",$D$192:$D$198,"=Saline"),0)</f>
        <v>0</v>
      </c>
      <c r="D204" s="197">
        <f>SUMIFS($I$192:$I$198,$J$192:$J$198,"&gt;180",$J$192:$J$198,"&lt;=500",$H$192:$H$198,"=Onshore",$D$192:$D$198,"=Saline")</f>
        <v>0</v>
      </c>
      <c r="E204" s="197">
        <f>IFERROR(AVERAGEIFS($J$192:$J$198,$J$192:$J$198,"&gt;180",$J$192:$J$198,"&lt;=500",$H$192:$H$198,"=Onshore",$D$192:$D$198,"=Carbon"),0)</f>
        <v>0</v>
      </c>
      <c r="F204" s="197">
        <f>SUMIFS($I$192:$I$198,$J$192:$J$198,"&gt;180",$J$192:$J$198,"&lt;=500",$H$192:$H$198,"=Onshore",$D$192:$D$198,"=Carbon")</f>
        <v>0</v>
      </c>
    </row>
    <row r="205" spans="1:12">
      <c r="A205" s="197" t="s">
        <v>400</v>
      </c>
      <c r="B205" s="197" t="s">
        <v>560</v>
      </c>
      <c r="C205" s="204">
        <f>IFERROR(AVERAGEIFS($J$192:$J$198,$J$192:$J$198,"&gt;180",$J$192:$J$198,"&lt;=500",$H$192:$H$198,"=Offshore",$D$192:$D$198,"=Saline"),0)</f>
        <v>500</v>
      </c>
      <c r="D205" s="197">
        <f>IFERROR(SUMIFS($I$192:$I$198,$J$192:$J$198,"&gt;180",$J$192:$J$198,"&lt;=500",$H$192:$H$198,"=Offshore",$D$192:$D$198,"=Saline"),0)</f>
        <v>0.46666666666666662</v>
      </c>
      <c r="E205" s="204">
        <f>IFERROR(AVERAGEIFS($J$192:$J$198,$J$192:$J$198,"&gt;180",$J$192:$J$198,"&lt;=500",$H$192:$H$198,"=Offshore",$D$192:$D$198,"=Carbon"),0)</f>
        <v>0</v>
      </c>
      <c r="F205" s="197">
        <f>IFERROR(SUMIFS($I$192:$I$198,$J$192:$J$198,"&gt;180",$J$192:$J$198,"&lt;=500",$H$192:$H$198,"=Offshore",$D$192:$D$198,"=Carbon"),0)</f>
        <v>0</v>
      </c>
    </row>
    <row r="206" spans="1:12">
      <c r="A206" s="197" t="s">
        <v>399</v>
      </c>
      <c r="B206" s="197" t="s">
        <v>561</v>
      </c>
      <c r="C206" s="197">
        <f>IFERROR(AVERAGEIFS($J$192:$J$198,$J$192:$J$198,"&gt;500",$H$192:$H$198,"=Onshore",$D$192:$D$198,"=Saline"),0)</f>
        <v>0</v>
      </c>
      <c r="D206" s="197">
        <f>IFERROR(SUMIFS($I$192:$I$198,$J$192:$J$198,"&gt;500",$H$192:$H$198,"=Onshore",$D$192:$D$198,"=Saline"),0)</f>
        <v>0</v>
      </c>
      <c r="E206" s="197">
        <f>IFERROR(AVERAGEIFS($J$192:$J$198,$J$192:$J$198,"&gt;500",$H$192:$H$198,"=Onshore",$D$192:$D$198,"=Carbon"),0)</f>
        <v>0</v>
      </c>
      <c r="F206" s="197">
        <f>IFERROR(SUMIFS($I$192:$I$198,$J$192:$J$198,"&gt;500",$H$192:$H$198,"=Onshore",$D$192:$D$198,"=Carbon"),0)</f>
        <v>0</v>
      </c>
    </row>
    <row r="207" spans="1:12">
      <c r="A207" s="197" t="s">
        <v>400</v>
      </c>
      <c r="B207" s="197" t="s">
        <v>561</v>
      </c>
      <c r="C207" s="197">
        <f>IFERROR(AVERAGEIFS($J$192:$J$198,$J$192:$J$198,"&gt;500",$H$192:$H$198,"=Offshore",$D$192:$D$198,"=Saline"),0)</f>
        <v>570</v>
      </c>
      <c r="D207" s="197">
        <f>IFERROR(SUMIFS($I$192:$I$198,$J$192:$J$198,"&gt;500",$H$192:$H$198,"=Offshore",$D$192:$D$198,"=Saline"),0)</f>
        <v>3.2833333333333332</v>
      </c>
      <c r="E207" s="197">
        <f>IFERROR(AVERAGEIFS($J$192:$J$198,$J$192:$J$198,"&gt;500",$H$192:$H$198,"=Offshore",$D$192:$D$198,"=Carbon"),0)</f>
        <v>925</v>
      </c>
      <c r="F207" s="197">
        <f>IFERROR(SUMIFS($I$192:$I$198,$J$192:$J$198,"&gt;500",$H$192:$H$198,"=Offshore",$D$192:$D$198,"=Carbon"),0)</f>
        <v>6</v>
      </c>
    </row>
    <row r="210" spans="1:13">
      <c r="A210" s="197" t="s">
        <v>526</v>
      </c>
      <c r="B210" s="197" t="s">
        <v>572</v>
      </c>
      <c r="J210" s="197" t="s">
        <v>528</v>
      </c>
    </row>
    <row r="211" spans="1:13">
      <c r="B211" s="197" t="s">
        <v>452</v>
      </c>
      <c r="C211" s="197" t="s">
        <v>113</v>
      </c>
      <c r="D211" s="197" t="s">
        <v>562</v>
      </c>
      <c r="E211" s="197" t="s">
        <v>530</v>
      </c>
      <c r="F211" s="197" t="s">
        <v>531</v>
      </c>
      <c r="G211" s="197" t="s">
        <v>532</v>
      </c>
      <c r="H211" s="197" t="s">
        <v>533</v>
      </c>
      <c r="I211" s="197" t="s">
        <v>534</v>
      </c>
      <c r="J211" s="197" t="s">
        <v>535</v>
      </c>
      <c r="K211" s="197" t="s">
        <v>573</v>
      </c>
      <c r="L211" s="197" t="s">
        <v>536</v>
      </c>
      <c r="M211" s="197" t="s">
        <v>537</v>
      </c>
    </row>
    <row r="212" spans="1:13">
      <c r="B212" s="197" t="s">
        <v>466</v>
      </c>
      <c r="C212" s="197" t="s">
        <v>574</v>
      </c>
      <c r="D212" s="197" t="s">
        <v>505</v>
      </c>
      <c r="E212" s="197" t="str">
        <f>E192</f>
        <v>Gassum Aquifer</v>
      </c>
      <c r="F212" s="197">
        <v>1</v>
      </c>
      <c r="G212" s="197" t="s">
        <v>482</v>
      </c>
      <c r="H212" s="197" t="s">
        <v>400</v>
      </c>
      <c r="I212" s="197">
        <f>I192</f>
        <v>0.6166666666666667</v>
      </c>
      <c r="J212" s="197">
        <v>165</v>
      </c>
      <c r="L212" s="197" t="s">
        <v>539</v>
      </c>
      <c r="M212" s="197" t="s">
        <v>575</v>
      </c>
    </row>
    <row r="213" spans="1:13">
      <c r="D213" s="197" t="s">
        <v>505</v>
      </c>
      <c r="E213" s="197" t="str">
        <f>E193</f>
        <v>Hanstholm structure</v>
      </c>
      <c r="F213" s="197">
        <v>2</v>
      </c>
      <c r="G213" s="197" t="s">
        <v>484</v>
      </c>
      <c r="H213" s="197" t="s">
        <v>400</v>
      </c>
      <c r="I213" s="197">
        <f>I193</f>
        <v>0.46666666666666662</v>
      </c>
      <c r="J213" s="197">
        <v>260</v>
      </c>
      <c r="L213" s="197" t="s">
        <v>539</v>
      </c>
    </row>
    <row r="214" spans="1:13">
      <c r="D214" s="197" t="s">
        <v>505</v>
      </c>
      <c r="E214" s="197" t="s">
        <v>501</v>
      </c>
      <c r="F214" s="197">
        <v>3</v>
      </c>
      <c r="G214" s="197" t="s">
        <v>500</v>
      </c>
      <c r="H214" s="197" t="s">
        <v>400</v>
      </c>
      <c r="I214" s="197">
        <f>I106</f>
        <v>0.2</v>
      </c>
      <c r="J214" s="197">
        <v>325</v>
      </c>
      <c r="L214" s="197" t="s">
        <v>539</v>
      </c>
    </row>
    <row r="215" spans="1:13">
      <c r="D215" s="197" t="s">
        <v>505</v>
      </c>
      <c r="E215" s="197" t="s">
        <v>502</v>
      </c>
      <c r="F215" s="197">
        <v>4</v>
      </c>
      <c r="G215" s="197" t="s">
        <v>500</v>
      </c>
      <c r="H215" s="197" t="s">
        <v>400</v>
      </c>
      <c r="I215" s="197">
        <f>I110</f>
        <v>0.13999999999999999</v>
      </c>
      <c r="J215" s="197">
        <v>500</v>
      </c>
      <c r="K215" s="197">
        <v>800</v>
      </c>
      <c r="L215" s="197" t="s">
        <v>539</v>
      </c>
      <c r="M215" s="197" t="s">
        <v>576</v>
      </c>
    </row>
    <row r="216" spans="1:13">
      <c r="D216" s="197" t="s">
        <v>505</v>
      </c>
      <c r="E216" s="197" t="s">
        <v>577</v>
      </c>
      <c r="F216" s="197">
        <v>5</v>
      </c>
      <c r="G216" s="197" t="s">
        <v>493</v>
      </c>
      <c r="H216" s="197" t="s">
        <v>400</v>
      </c>
      <c r="I216" s="197">
        <f>I176</f>
        <v>6.9916666666666663</v>
      </c>
      <c r="J216" s="197">
        <v>615</v>
      </c>
      <c r="L216" s="197" t="s">
        <v>539</v>
      </c>
      <c r="M216" s="197" t="s">
        <v>575</v>
      </c>
    </row>
    <row r="217" spans="1:13">
      <c r="D217" s="197" t="s">
        <v>542</v>
      </c>
      <c r="E217" s="197" t="s">
        <v>578</v>
      </c>
      <c r="F217" s="197">
        <v>6</v>
      </c>
      <c r="G217" s="197" t="s">
        <v>493</v>
      </c>
      <c r="H217" s="197" t="s">
        <v>400</v>
      </c>
      <c r="I217" s="197">
        <f>I177</f>
        <v>1.5</v>
      </c>
      <c r="J217" s="197">
        <v>615</v>
      </c>
      <c r="L217" s="197" t="s">
        <v>539</v>
      </c>
      <c r="M217" s="197" t="s">
        <v>579</v>
      </c>
    </row>
    <row r="218" spans="1:13">
      <c r="B218" s="197" t="s">
        <v>466</v>
      </c>
      <c r="C218" s="197" t="s">
        <v>580</v>
      </c>
      <c r="D218" s="197" t="s">
        <v>505</v>
      </c>
      <c r="E218" s="197" t="str">
        <f t="shared" ref="E218:I221" si="13">E212</f>
        <v>Gassum Aquifer</v>
      </c>
      <c r="F218" s="197">
        <f t="shared" si="13"/>
        <v>1</v>
      </c>
      <c r="G218" s="197" t="str">
        <f t="shared" si="13"/>
        <v>Denmark/Norway</v>
      </c>
      <c r="H218" s="197" t="str">
        <f t="shared" si="13"/>
        <v>Offshore</v>
      </c>
      <c r="I218" s="197">
        <f t="shared" si="13"/>
        <v>0.6166666666666667</v>
      </c>
      <c r="J218" s="197">
        <v>500</v>
      </c>
      <c r="K218" s="197">
        <v>1000</v>
      </c>
      <c r="L218" s="197" t="s">
        <v>539</v>
      </c>
      <c r="M218" s="197" t="s">
        <v>565</v>
      </c>
    </row>
    <row r="219" spans="1:13">
      <c r="D219" s="197" t="s">
        <v>505</v>
      </c>
      <c r="E219" s="197" t="str">
        <f t="shared" si="13"/>
        <v>Hanstholm structure</v>
      </c>
      <c r="F219" s="197">
        <f t="shared" si="13"/>
        <v>2</v>
      </c>
      <c r="G219" s="197" t="str">
        <f t="shared" si="13"/>
        <v>Denmark</v>
      </c>
      <c r="H219" s="197" t="str">
        <f t="shared" si="13"/>
        <v>Offshore</v>
      </c>
      <c r="I219" s="197">
        <f t="shared" si="13"/>
        <v>0.46666666666666662</v>
      </c>
      <c r="J219" s="197">
        <v>560</v>
      </c>
      <c r="K219" s="197">
        <v>1100</v>
      </c>
      <c r="L219" s="197" t="s">
        <v>539</v>
      </c>
      <c r="M219" s="197" t="s">
        <v>565</v>
      </c>
    </row>
    <row r="220" spans="1:13">
      <c r="D220" s="197" t="s">
        <v>505</v>
      </c>
      <c r="E220" s="197" t="str">
        <f t="shared" si="13"/>
        <v>Anager Greensand + Höganäs - Rya storage unit</v>
      </c>
      <c r="F220" s="197">
        <f t="shared" si="13"/>
        <v>3</v>
      </c>
      <c r="G220" s="197" t="str">
        <f t="shared" si="13"/>
        <v>Sweden</v>
      </c>
      <c r="H220" s="197" t="str">
        <f t="shared" si="13"/>
        <v>Offshore</v>
      </c>
      <c r="I220" s="197">
        <f t="shared" si="13"/>
        <v>0.2</v>
      </c>
      <c r="J220" s="197">
        <v>550</v>
      </c>
      <c r="L220" s="197" t="s">
        <v>539</v>
      </c>
      <c r="M220" s="197" t="s">
        <v>565</v>
      </c>
    </row>
    <row r="221" spans="1:13">
      <c r="D221" s="197" t="s">
        <v>505</v>
      </c>
      <c r="E221" s="197" t="str">
        <f t="shared" si="13"/>
        <v>Faludden</v>
      </c>
      <c r="F221" s="197">
        <f t="shared" si="13"/>
        <v>4</v>
      </c>
      <c r="G221" s="197" t="str">
        <f t="shared" si="13"/>
        <v>Sweden</v>
      </c>
      <c r="H221" s="197" t="str">
        <f t="shared" si="13"/>
        <v>Offshore</v>
      </c>
      <c r="I221" s="197">
        <f t="shared" si="13"/>
        <v>0.13999999999999999</v>
      </c>
      <c r="J221" s="197">
        <v>280</v>
      </c>
      <c r="L221" s="197" t="s">
        <v>539</v>
      </c>
      <c r="M221" s="197" t="s">
        <v>575</v>
      </c>
    </row>
    <row r="222" spans="1:13">
      <c r="D222" s="197" t="s">
        <v>505</v>
      </c>
      <c r="F222" s="197" t="s">
        <v>508</v>
      </c>
    </row>
    <row r="223" spans="1:13">
      <c r="A223" s="197" t="s">
        <v>581</v>
      </c>
      <c r="C223" s="197" t="s">
        <v>513</v>
      </c>
      <c r="D223" s="197" t="s">
        <v>514</v>
      </c>
      <c r="E223" s="197" t="s">
        <v>513</v>
      </c>
      <c r="F223" s="197" t="s">
        <v>514</v>
      </c>
      <c r="H223" s="197" t="s">
        <v>582</v>
      </c>
      <c r="I223" s="197" t="s">
        <v>505</v>
      </c>
      <c r="K223" s="197" t="s">
        <v>508</v>
      </c>
    </row>
    <row r="224" spans="1:13">
      <c r="A224" s="197" t="s">
        <v>399</v>
      </c>
      <c r="B224" s="197" t="s">
        <v>557</v>
      </c>
      <c r="C224" s="197">
        <f>IFERROR(AVERAGEIFS($J$212:$J$217,$J$212:$J$217,"&lt;=180",$H$212:$H$217,"=Onshore",$D$212:$D$217,"=Saline"),0)</f>
        <v>0</v>
      </c>
      <c r="D224" s="197">
        <f>IFERROR(SUMIFS($I$212:$I$217,$J$212:$J$217,"&lt;=180",$H$212:$H$217,"=Onshore",$D$212:$D$217,"=Saline"),0)</f>
        <v>0</v>
      </c>
      <c r="E224" s="197">
        <f>IFERROR(AVERAGEIFS($J$212:$J$217,$J$212:$J$217,"&lt;=180",$H$212:$H$217,"=Onshore",$D$212:$D$217,"=Carbon"),0)</f>
        <v>0</v>
      </c>
      <c r="F224" s="197">
        <f>IFERROR(SUMIFS($I$212:$I$217,$J$212:$J$217,"&lt;=180",$H$212:$H$217,"=Onshore",$D$212:$D$217,"=Carbon"),0)</f>
        <v>0</v>
      </c>
      <c r="H224" s="197" t="s">
        <v>513</v>
      </c>
      <c r="I224" s="197" t="s">
        <v>514</v>
      </c>
      <c r="J224" s="197" t="s">
        <v>513</v>
      </c>
      <c r="K224" s="197" t="s">
        <v>514</v>
      </c>
    </row>
    <row r="225" spans="1:11">
      <c r="A225" s="197" t="s">
        <v>400</v>
      </c>
      <c r="B225" s="197" t="s">
        <v>557</v>
      </c>
      <c r="C225" s="197">
        <f>IFERROR(AVERAGEIFS($J$212:$J$217,$J$212:$J$217,"&lt;=180",$H$212:$H$217,"=Offshore",$D$212:$D$217,"=Saline"),0)</f>
        <v>165</v>
      </c>
      <c r="D225" s="197">
        <f>IFERROR(SUMIFS($I$212:$I$217,$J$212:$J$217,"&lt;=180",$H$212:$H$217,"=Offshore",$D$212:$D$217,"=Saline"),0)</f>
        <v>0.6166666666666667</v>
      </c>
      <c r="E225" s="197">
        <f>IFERROR(AVERAGEIFS($J$212:$J$217,$J$212:$J$217,"&lt;=180",$H$212:$H$217,"=Offshore",$D$212:$D$217,"=Carbon"),0)</f>
        <v>0</v>
      </c>
      <c r="F225" s="197">
        <f>IFERROR(SUMIFS($I$212:$I$217,$J$212:$J$217,"&lt;=180",$H$212:$H$217,"=Offshore",$D$212:$D$217,"=Carbon"),0)</f>
        <v>0</v>
      </c>
      <c r="H225" s="197">
        <f>IF(AND($C$224&gt;0,$C$232&gt;0),AVERAGE($C$224,$C$232),IF($C$224&gt;0,$C$224,IF($C$232&gt;0,$C$232,0)))</f>
        <v>0</v>
      </c>
      <c r="I225" s="197">
        <f>SUM(D224,D232)</f>
        <v>0</v>
      </c>
      <c r="J225" s="197">
        <f>IF(AND($E$224&gt;0,$E$232&gt;0),AVERAGE($E$224,$E$232),IF($E$224&gt;0,$E$224,IF($E$232&gt;0,$E$232,0)))</f>
        <v>0</v>
      </c>
      <c r="K225" s="197">
        <f>IF(AND($F$224&gt;0,$F$232&gt;0),MAX($F$224,$F$232),IF($F$224&gt;0,$F$224,IF($F$232&gt;0,$F$232,0)))</f>
        <v>0</v>
      </c>
    </row>
    <row r="226" spans="1:11">
      <c r="A226" s="197" t="s">
        <v>399</v>
      </c>
      <c r="B226" s="197" t="s">
        <v>560</v>
      </c>
      <c r="C226" s="197">
        <f>IFERROR(AVERAGEIFS($J$212:$J$217,$J$212:$J$217,"&gt;180",$J$212:$J$217,"&lt;=500",$H$212:$H$217,"=Onshore",$D$212:$D$217,"=Saline"),0)</f>
        <v>0</v>
      </c>
      <c r="D226" s="197">
        <f>SUMIFS($I$212:$I$217,$J$212:$J$217,"&gt;180",$J$212:$J$217,"&lt;=500",$H$212:$H$217,"=Onshore",$D$212:$D$217,"=Saline")</f>
        <v>0</v>
      </c>
      <c r="E226" s="197">
        <f>IFERROR(AVERAGEIFS($J$212:$J$217,$J$212:$J$217,"&gt;180",$J$212:$J$217,"&lt;=500",$H$212:$H$217,"=Onshore",$D$212:$D$217,"=Carbon"),0)</f>
        <v>0</v>
      </c>
      <c r="F226" s="197">
        <f>SUMIFS($I$212:$I$217,$J$212:$J$217,"&gt;180",$J$212:$J$217,"&lt;=500",$H$212:$H$217,"=Onshore",$D$212:$D$217,"=Carbon")</f>
        <v>0</v>
      </c>
      <c r="H226" s="197">
        <f>IF(AND($C$225&gt;0,$C$233&gt;0),AVERAGE($C$225,$C$233),IF($C$225&gt;0,$C$225,IF($C$233&gt;0,$C$233,0)))</f>
        <v>165</v>
      </c>
      <c r="I226" s="197">
        <f>IF(AND($D$225&gt;0,$D$233&gt;0),MAX($D$225,$D$233),IF($D$225&gt;0,$D$225,IF($D$233&gt;0,$D$233,0)))</f>
        <v>0.6166666666666667</v>
      </c>
      <c r="J226" s="197">
        <f>IF(AND(E225&gt;0,E233&gt;0),AVERAGE(E225,E233),IF(E225&gt;0,E225,IF(E233&gt;0,E233,0)))</f>
        <v>0</v>
      </c>
      <c r="K226" s="197">
        <f>IF(AND($F$225&gt;0,$F$233&gt;0),MAX($F$225,$F$233),IF($F$225&gt;0,$F$225,IF($F$233&gt;0,$F$233,0)))</f>
        <v>0</v>
      </c>
    </row>
    <row r="227" spans="1:11">
      <c r="A227" s="197" t="s">
        <v>400</v>
      </c>
      <c r="B227" s="197" t="s">
        <v>560</v>
      </c>
      <c r="C227" s="204">
        <f>IFERROR(AVERAGEIFS($J$212:$J$217,$J$212:$J$217,"&gt;180",$J$212:$J$217,"&lt;=500",$H$212:$H$217,"=Offshore",$D$212:$D$217,"=Saline"),0)</f>
        <v>361.66666666666669</v>
      </c>
      <c r="D227" s="197">
        <f>IFERROR(SUMIFS($I$212:$I$217,$J$212:$J$217,"&gt;180",$J$212:$J$217,"&lt;=500",$H$212:$H$217,"=Offshore",$D$212:$D$217,"=Saline"),0)</f>
        <v>0.80666666666666664</v>
      </c>
      <c r="E227" s="204">
        <f>IFERROR(AVERAGEIFS($J$212:$J$217,$J$212:$J$217,"&gt;180",$J$212:$J$217,"&lt;=500",$H$212:$H$217,"=Offshore",$D$212:$D$217,"=Carbon"),0)</f>
        <v>0</v>
      </c>
      <c r="F227" s="197">
        <f>IFERROR(SUMIFS($I$212:$I$217,$J$212:$J$217,"&gt;180",$J$212:$J$217,"&lt;=500",$H$212:$H$217,"=Offshore",$D$212:$D$217,"=Carbon"),0)</f>
        <v>0</v>
      </c>
      <c r="H227" s="197">
        <f>IF(AND($C$226&gt;0,$C$234&gt;0),AVERAGE($C$226,$C$234),IF($C$226&gt;0,$C$226,IF($C$234&gt;0,$C$234,0)))</f>
        <v>0</v>
      </c>
      <c r="I227" s="197">
        <f>IF(AND($D$226&gt;0,$D$234&gt;0),MAX($D$226,$D$234),IF($D$226&gt;0,$D$226,IF($D$234&gt;0,$D$234,0)))</f>
        <v>0</v>
      </c>
      <c r="J227" s="197">
        <f>IF(AND(E226&gt;0,E234&gt;0),AVERAGE(E226,E234),IF(E226&gt;0,E226,IF(E234&gt;0,E234,0)))</f>
        <v>0</v>
      </c>
      <c r="K227" s="197">
        <f>IF(AND($F$226&gt;0,$F$234&gt;0),MAX($F$226,$F$234),IF($F$226&gt;0,$F$226,IF($F$234&gt;0,$F$234,0)))</f>
        <v>0</v>
      </c>
    </row>
    <row r="228" spans="1:11">
      <c r="A228" s="197" t="s">
        <v>399</v>
      </c>
      <c r="B228" s="197" t="s">
        <v>561</v>
      </c>
      <c r="C228" s="197">
        <f>IFERROR(AVERAGEIFS($J$212:$J$217,$J$212:$J$217,"&gt;500",$H$212:$H$217,"=Onshore",$D$212:$D$217,"=Saline"),0)</f>
        <v>0</v>
      </c>
      <c r="D228" s="197">
        <f>IFERROR(SUMIFS($I$212:$I$217,$J$212:$J$217,"&gt;500",$H$212:$H$217,"=Onshore",$D$212:$D$217,"=Saline"),0)</f>
        <v>0</v>
      </c>
      <c r="E228" s="197">
        <f>IFERROR(AVERAGEIFS($J$212:$J$217,$J$212:$J$217,"&gt;500",$H$212:$H$217,"=Onshore",$D$212:$D$217,"=Carbon"),0)</f>
        <v>0</v>
      </c>
      <c r="F228" s="197">
        <f>IFERROR(SUMIFS($I$212:$I$217,$J$212:$J$217,"&gt;500",$H$212:$H$217,"=Onshore",$D$212:$D$217,"=Carbon"),0)</f>
        <v>0</v>
      </c>
      <c r="H228" s="197">
        <f>IF(AND($C$227&gt;0,$C$235&gt;0),AVERAGE($C$227,$C$235),IF($C$227&gt;0,$C$227,IF($C$235&gt;0,$C$235,0)))</f>
        <v>375.83333333333337</v>
      </c>
      <c r="I228" s="197">
        <f>IF(AND($D$227&gt;0,$D$235&gt;0),MAX($D$227,$D$235),IF($D$227&gt;0,$D$227,IF($D$235&gt;0,$D$235,0)))</f>
        <v>0.80666666666666664</v>
      </c>
      <c r="J228" s="197">
        <f>IF(AND(E227&gt;0,E235&gt;0),AVERAGE(E227,E235),IF(E227&gt;0,E227,IF(E235&gt;0,E235,0)))</f>
        <v>0</v>
      </c>
      <c r="K228" s="197">
        <f>IF(AND($F$227&gt;0,$F$235&gt;0),MAX($F$227,$F$235),IF($F$227&gt;0,$F$227,IF($F$235&gt;0,$F$235,0)))</f>
        <v>0</v>
      </c>
    </row>
    <row r="229" spans="1:11">
      <c r="A229" s="197" t="s">
        <v>400</v>
      </c>
      <c r="B229" s="197" t="s">
        <v>561</v>
      </c>
      <c r="C229" s="197">
        <f>IFERROR(AVERAGEIFS($J$212:$J$217,$J$212:$J$217,"&gt;500",$H$212:$H$217,"=Offshore",$D$212:$D$217,"=Saline"),0)</f>
        <v>615</v>
      </c>
      <c r="D229" s="197">
        <f>IFERROR(SUMIFS($I$212:$I$217,$J$212:$J$217,"&gt;500",$H$212:$H$217,"=Offshore",$D$212:$D$217,"=Saline"),0)</f>
        <v>6.9916666666666663</v>
      </c>
      <c r="E229" s="197">
        <f>IFERROR(AVERAGEIFS($J$212:$J$217,$J$212:$J$217,"&gt;500",$H$212:$H$217,"=Offshore",$D$212:$D$217,"=Carbon"),0)</f>
        <v>615</v>
      </c>
      <c r="F229" s="197">
        <f>IFERROR(SUMIFS($I$212:$I$217,$J$212:$J$217,"&gt;500",$H$212:$H$217,"=Offshore",$D$212:$D$217,"=Carbon"),0)</f>
        <v>1.5</v>
      </c>
      <c r="H229" s="197">
        <f>IF(AND($C$228&gt;0,$C$236&gt;0),AVERAGE($C$228,$C$236),IF($C$228&gt;0,$C$228,IF($C$236&gt;0,$C$236,0)))</f>
        <v>0</v>
      </c>
      <c r="I229" s="197">
        <f>IF(AND($D$228&gt;0,$D$236&gt;0),MAX($D$228,$D$236),IF($D$228&gt;0,$D$228,IF($D$236&gt;0,$D$236,0)))</f>
        <v>0</v>
      </c>
      <c r="J229" s="197">
        <f>IF(AND($E$228&gt;0,$E$236&gt;0),AVERAGE($E$228,$E$236),IF($E$228&gt;0,$E$228,IF($E$236&gt;0,$E$236,0)))</f>
        <v>0</v>
      </c>
      <c r="K229" s="197">
        <f>IF(AND($F$228&gt;0,$F$236&gt;0),MAX($F$228,$F$236),IF($F$228&gt;0,$F$228,IF($F$236&gt;0,$F$236,0)))</f>
        <v>0</v>
      </c>
    </row>
    <row r="230" spans="1:11">
      <c r="H230" s="197">
        <f>IF(AND($C$229&gt;0,$C$237&gt;0),AVERAGE($C$229,$C$237),IF($C$229&gt;0,$C$229,IF($C$237&gt;0,$C$237,0)))</f>
        <v>585</v>
      </c>
      <c r="I230" s="197">
        <f>IF(AND($D$229&gt;0,$D$237&gt;0),MAX($D$229,$D$237),IF($D$229&gt;0,$D$229,IF($D$237&gt;0,$D$237,0)))</f>
        <v>6.9916666666666663</v>
      </c>
      <c r="J230" s="197">
        <f>IF(AND($E$229&gt;0,$E$237&gt;0),AVERAGE($E$229,$E$237),IF($E$229&gt;0,$E$229,IF($E$237&gt;0,$E$237,0)))</f>
        <v>615</v>
      </c>
      <c r="K230" s="197">
        <f>IF(AND($F$229&gt;0,$F$237&gt;0),MAX($F$229,$F$237),IF($F$229&gt;0,$F$229,IF($F$237&gt;0,$F$237,0)))</f>
        <v>1.5</v>
      </c>
    </row>
    <row r="231" spans="1:11">
      <c r="A231" s="197" t="s">
        <v>583</v>
      </c>
      <c r="C231" s="197" t="s">
        <v>513</v>
      </c>
      <c r="D231" s="197" t="s">
        <v>514</v>
      </c>
      <c r="E231" s="197" t="s">
        <v>513</v>
      </c>
      <c r="F231" s="197" t="s">
        <v>514</v>
      </c>
    </row>
    <row r="232" spans="1:11">
      <c r="A232" s="197" t="s">
        <v>399</v>
      </c>
      <c r="B232" s="197" t="s">
        <v>557</v>
      </c>
      <c r="C232" s="197">
        <f>IFERROR(AVERAGEIFS($J$218:$J$221,$J$218:$J$221,"&lt;=180",$H$218:$H$221,"=Onshore",$D$218:$D$221,"=Saline"),0)</f>
        <v>0</v>
      </c>
      <c r="D232" s="197">
        <f>IFERROR(SUMIFS($I$218:$I$221,$J$218:$J$221,"&lt;=180",$H$218:$H$221,"=Onshore",$D$218:$D$221,"=Saline"),0)</f>
        <v>0</v>
      </c>
      <c r="E232" s="197">
        <f>IFERROR(AVERAGEIFS($J$218:$J$221,$J$218:$J$221,"&lt;=180",$H$218:$H$221,"=Onshore",$D$218:$D$221,"=Carbon"),0)</f>
        <v>0</v>
      </c>
      <c r="F232" s="197">
        <f>IFERROR(SUMIFS($I$218:$I$221,$J$218:$J$221,"&lt;=180",$H$218:$H$221,"=Onshore",$D$218:$D$221,"=Carbon"),0)</f>
        <v>0</v>
      </c>
    </row>
    <row r="233" spans="1:11">
      <c r="A233" s="197" t="s">
        <v>400</v>
      </c>
      <c r="B233" s="197" t="s">
        <v>557</v>
      </c>
      <c r="C233" s="197">
        <f>IFERROR(AVERAGEIFS($J$218:$J$221,$J$218:$J$221,"&lt;=180",$H$218:$H$221,"=Offshore",$D$218:$D$221,"=Saline"),0)</f>
        <v>0</v>
      </c>
      <c r="D233" s="197">
        <f>IFERROR(SUMIFS($I$218:$I$221,$J$218:$J$221,"&lt;=180",$H$218:$H$221,"=Offshore",$D$218:$D$221,"=Saline"),0)</f>
        <v>0</v>
      </c>
      <c r="E233" s="197">
        <f>IFERROR(AVERAGEIFS($J$218:$J$221,$J$218:$J$221,"&lt;=180",$H$218:$H$221,"=Offshore",$D$218:$D$221,"=Carbon"),0)</f>
        <v>0</v>
      </c>
      <c r="F233" s="197">
        <f>IFERROR(SUMIFS($I$218:$I$221,$J$218:$J$221,"&lt;=180",$H$218:$H$221,"=Offshore",$D$218:$D$221,"=Carbon"),0)</f>
        <v>0</v>
      </c>
    </row>
    <row r="234" spans="1:11">
      <c r="A234" s="197" t="s">
        <v>399</v>
      </c>
      <c r="B234" s="197" t="s">
        <v>560</v>
      </c>
      <c r="C234" s="197">
        <f>IFERROR(AVERAGEIFS($J$218:$J$221,$J$218:$J$221,"&gt;180",$J$218:$J$221,"&lt;=500",$H$218:$H$221,"=Onshore",$D$218:$D$221,"=Saline"),0)</f>
        <v>0</v>
      </c>
      <c r="D234" s="197">
        <f>SUMIFS($I$218:$I$221,$J$218:$J$221,"&gt;180",$J$218:$J$221,"&lt;=500",$H$218:$H$221,"=Onshore",$D$218:$D$221,"=Saline")</f>
        <v>0</v>
      </c>
      <c r="E234" s="197">
        <f>IFERROR(AVERAGEIFS($J$218:$J$221,$J$218:$J$221,"&gt;180",$J$218:$J$221,"&lt;=500",$H$218:$H$221,"=Onshore",$D$218:$D$221,"=Carbon"),0)</f>
        <v>0</v>
      </c>
      <c r="F234" s="197">
        <f>SUMIFS($I$218:$I$221,$J$218:$J$221,"&gt;180",$J$218:$J$221,"&lt;=500",$H$218:$H$221,"=Onshore",$D$218:$D$221,"=Carbon")</f>
        <v>0</v>
      </c>
    </row>
    <row r="235" spans="1:11">
      <c r="A235" s="197" t="s">
        <v>400</v>
      </c>
      <c r="B235" s="197" t="s">
        <v>560</v>
      </c>
      <c r="C235" s="204">
        <f>IFERROR(AVERAGEIFS($J$218:$J$221,$J$218:$J$221,"&gt;180",$J$218:$J$221,"&lt;=500",$H$218:$H$221,"=Offshore",$D$218:$D$221,"=Saline"),0)</f>
        <v>390</v>
      </c>
      <c r="D235" s="197">
        <f>IFERROR(SUMIFS($I$218:$I$221,$J$218:$J$221,"&gt;180",$J$218:$J$221,"&lt;=500",$H$218:$H$221,"=Offshore",$D$218:$D$221,"=Saline"),0)</f>
        <v>0.75666666666666671</v>
      </c>
      <c r="E235" s="204">
        <f>IFERROR(AVERAGEIFS($J$218:$J$221,$J$218:$J$221,"&gt;180",$J$218:$J$221,"&lt;=500",$H$218:$H$221,"=Offshore",$D$218:$D$221,"=Carbon"),0)</f>
        <v>0</v>
      </c>
      <c r="F235" s="197">
        <f>IFERROR(SUMIFS($I$218:$I$221,$J$218:$J$221,"&gt;180",$J$218:$J$221,"&lt;=500",$H$218:$H$221,"=Offshore",$D$218:$D$221,"=Carbon"),0)</f>
        <v>0</v>
      </c>
    </row>
    <row r="236" spans="1:11">
      <c r="A236" s="197" t="s">
        <v>399</v>
      </c>
      <c r="B236" s="197" t="s">
        <v>561</v>
      </c>
      <c r="C236" s="197">
        <f>IFERROR(AVERAGEIFS($J$218:$J$221,$J$218:$J$221,"&gt;500",$H$218:$H$221,"=Onshore",$D$218:$D$221,"=Saline"),0)</f>
        <v>0</v>
      </c>
      <c r="D236" s="197">
        <f>IFERROR(SUMIFS($I$218:$I$221,$J$218:$J$221,"&gt;500",$H$218:$H$221,"=Onshore",$D$218:$D$221,"=Saline"),0)</f>
        <v>0</v>
      </c>
      <c r="E236" s="197">
        <f>IFERROR(AVERAGEIFS($J$218:$J$221,$J$218:$J$221,"&gt;500",$H$218:$H$221,"=Onshore",$D$218:$D$221,"=Carbon"),0)</f>
        <v>0</v>
      </c>
      <c r="F236" s="197">
        <f>IFERROR(SUMIFS($I$218:$I$221,$J$218:$J$221,"&gt;500",$H$218:$H$221,"=Onshore",$D$218:$D$221,"=Carbon"),0)</f>
        <v>0</v>
      </c>
    </row>
    <row r="237" spans="1:11">
      <c r="A237" s="197" t="s">
        <v>400</v>
      </c>
      <c r="B237" s="197" t="s">
        <v>561</v>
      </c>
      <c r="C237" s="197">
        <f>IFERROR(AVERAGEIFS($J$218:$J$221,$J$218:$J$221,"&gt;500",$H$218:$H$221,"=Offshore",$D$218:$D$221,"=Saline"),0)</f>
        <v>555</v>
      </c>
      <c r="D237" s="197">
        <f>IFERROR(SUMIFS($I$218:$I$221,$J$218:$J$221,"&gt;500",$H$218:$H$221,"=Offshore",$D$218:$D$221,"=Saline"),0)</f>
        <v>0.66666666666666663</v>
      </c>
      <c r="E237" s="197">
        <f>IFERROR(AVERAGEIFS($J$218:$J$221,$J$218:$J$221,"&gt;500",$H$218:$H$221,"=Offshore",$D$218:$D$221,"=Carbon"),0)</f>
        <v>0</v>
      </c>
      <c r="F237" s="197">
        <f>IFERROR(SUMIFS($I$218:$I$221,$J$218:$J$221,"&gt;500",$H$218:$H$221,"=Offshore",$D$218:$D$221,"=Carbon"),0)</f>
        <v>0</v>
      </c>
    </row>
    <row r="240" spans="1:11">
      <c r="A240" s="197" t="s">
        <v>526</v>
      </c>
      <c r="B240" s="197" t="s">
        <v>584</v>
      </c>
      <c r="J240" s="197" t="s">
        <v>528</v>
      </c>
    </row>
    <row r="241" spans="1:13">
      <c r="B241" s="197" t="s">
        <v>452</v>
      </c>
      <c r="C241" s="197" t="s">
        <v>113</v>
      </c>
      <c r="D241" s="197" t="s">
        <v>562</v>
      </c>
      <c r="E241" s="197" t="s">
        <v>530</v>
      </c>
      <c r="F241" s="197" t="s">
        <v>531</v>
      </c>
      <c r="G241" s="197" t="s">
        <v>532</v>
      </c>
      <c r="H241" s="197" t="s">
        <v>533</v>
      </c>
      <c r="I241" s="197" t="s">
        <v>534</v>
      </c>
      <c r="J241" s="197" t="s">
        <v>535</v>
      </c>
      <c r="K241" s="197" t="s">
        <v>573</v>
      </c>
      <c r="L241" s="197" t="s">
        <v>536</v>
      </c>
      <c r="M241" s="197" t="s">
        <v>537</v>
      </c>
    </row>
    <row r="242" spans="1:13">
      <c r="B242" s="197" t="s">
        <v>465</v>
      </c>
      <c r="C242" s="197" t="s">
        <v>585</v>
      </c>
      <c r="D242" s="197" t="s">
        <v>505</v>
      </c>
      <c r="E242" s="197" t="s">
        <v>502</v>
      </c>
      <c r="F242" s="197">
        <v>1</v>
      </c>
      <c r="G242" s="197" t="s">
        <v>500</v>
      </c>
      <c r="H242" s="197" t="s">
        <v>400</v>
      </c>
      <c r="I242" s="197">
        <f>I221</f>
        <v>0.13999999999999999</v>
      </c>
      <c r="J242" s="197">
        <v>730</v>
      </c>
      <c r="L242" s="197" t="s">
        <v>539</v>
      </c>
      <c r="M242" s="197" t="s">
        <v>586</v>
      </c>
    </row>
    <row r="243" spans="1:13">
      <c r="D243" s="197" t="s">
        <v>505</v>
      </c>
      <c r="E243" s="197" t="str">
        <f>E220</f>
        <v>Anager Greensand + Höganäs - Rya storage unit</v>
      </c>
      <c r="F243" s="197">
        <v>2</v>
      </c>
      <c r="G243" s="197" t="s">
        <v>500</v>
      </c>
      <c r="H243" s="197" t="s">
        <v>400</v>
      </c>
      <c r="I243" s="197">
        <f>I220</f>
        <v>0.2</v>
      </c>
      <c r="J243" s="197">
        <v>1100</v>
      </c>
      <c r="L243" s="197" t="s">
        <v>539</v>
      </c>
      <c r="M243" s="197" t="s">
        <v>587</v>
      </c>
    </row>
    <row r="244" spans="1:13">
      <c r="B244" s="197" t="s">
        <v>463</v>
      </c>
      <c r="C244" s="197" t="s">
        <v>588</v>
      </c>
      <c r="D244" s="197" t="s">
        <v>505</v>
      </c>
      <c r="E244" s="197" t="s">
        <v>502</v>
      </c>
      <c r="F244" s="197">
        <f>F242</f>
        <v>1</v>
      </c>
      <c r="G244" s="197" t="s">
        <v>500</v>
      </c>
      <c r="H244" s="197" t="s">
        <v>400</v>
      </c>
      <c r="I244" s="197">
        <f>I242</f>
        <v>0.13999999999999999</v>
      </c>
      <c r="J244" s="197">
        <v>1060</v>
      </c>
      <c r="L244" s="197" t="s">
        <v>539</v>
      </c>
      <c r="M244" s="197" t="s">
        <v>586</v>
      </c>
    </row>
    <row r="245" spans="1:13">
      <c r="D245" s="197" t="s">
        <v>505</v>
      </c>
      <c r="E245" s="197" t="str">
        <f>E243</f>
        <v>Anager Greensand + Höganäs - Rya storage unit</v>
      </c>
      <c r="F245" s="197">
        <f>F243</f>
        <v>2</v>
      </c>
      <c r="G245" s="197" t="s">
        <v>500</v>
      </c>
      <c r="H245" s="197" t="s">
        <v>400</v>
      </c>
      <c r="I245" s="197">
        <f>I243</f>
        <v>0.2</v>
      </c>
      <c r="J245" s="197">
        <v>1500</v>
      </c>
      <c r="L245" s="197" t="s">
        <v>539</v>
      </c>
      <c r="M245" s="197" t="s">
        <v>587</v>
      </c>
    </row>
    <row r="246" spans="1:13">
      <c r="D246" s="197" t="s">
        <v>505</v>
      </c>
      <c r="F246" s="197" t="s">
        <v>508</v>
      </c>
    </row>
    <row r="247" spans="1:13">
      <c r="A247" s="197" t="s">
        <v>465</v>
      </c>
      <c r="C247" s="197" t="s">
        <v>513</v>
      </c>
      <c r="D247" s="197" t="s">
        <v>514</v>
      </c>
      <c r="E247" s="197" t="s">
        <v>513</v>
      </c>
      <c r="F247" s="197" t="s">
        <v>514</v>
      </c>
    </row>
    <row r="248" spans="1:13">
      <c r="A248" s="197" t="s">
        <v>399</v>
      </c>
      <c r="B248" s="197" t="s">
        <v>557</v>
      </c>
      <c r="C248" s="197">
        <f>IFERROR(AVERAGEIFS($J$242:$J$243,$J$242:$J$243,"&lt;=180",$H$242:$H$243,"=Onshore",$D$242:$D$243,"=Saline"),0)</f>
        <v>0</v>
      </c>
      <c r="D248" s="197">
        <f>IFERROR(SUMIFS($I$242:$I$243,$J$242:$J$243,"&lt;=180",$H$242:$H$243,"=Onshore",$D$242:$D$243,"=Saline"),0)</f>
        <v>0</v>
      </c>
      <c r="E248" s="197">
        <f>IFERROR(AVERAGEIFS($J$242:$J$243,$J$242:$J$243,"&lt;=180",$H$242:$H$243,"=Onshore",$D$242:$D$243,"=Carbon"),0)</f>
        <v>0</v>
      </c>
      <c r="F248" s="197">
        <f>IFERROR(SUMIFS($I$242:$I$243,$J$242:$J$243,"&lt;=180",$H$242:$H$243,"=Onshore",$D$242:$D$243,"=Carbon"),0)</f>
        <v>0</v>
      </c>
    </row>
    <row r="249" spans="1:13">
      <c r="A249" s="197" t="s">
        <v>400</v>
      </c>
      <c r="B249" s="197" t="s">
        <v>557</v>
      </c>
      <c r="C249" s="197">
        <f>IFERROR(AVERAGEIFS($J$242:$J$243,$J$242:$J$243,"&lt;=180",$H$242:$H$243,"=Offshore",$D$242:$D$243,"=Saline"),0)</f>
        <v>0</v>
      </c>
      <c r="D249" s="197">
        <f>IFERROR(SUMIFS($I$242:$I$243,$J$242:$J$243,"&lt;=180",$H$242:$H$243,"=Offshore",$D$242:$D$243,"=Saline"),0)</f>
        <v>0</v>
      </c>
      <c r="E249" s="197">
        <f>IFERROR(AVERAGEIFS($J$242:$J$243,$J$242:$J$243,"&lt;=180",$H$242:$H$243,"=Offshore",$D$242:$D$243,"=Carbon"),0)</f>
        <v>0</v>
      </c>
      <c r="F249" s="197">
        <f>IFERROR(SUMIFS($I$242:$I$243,$J$242:$J$243,"&lt;=180",$H$242:$H$243,"=Offshore",$D$242:$D$243,"=Carbon"),0)</f>
        <v>0</v>
      </c>
    </row>
    <row r="250" spans="1:13">
      <c r="A250" s="197" t="s">
        <v>399</v>
      </c>
      <c r="B250" s="197" t="s">
        <v>560</v>
      </c>
      <c r="C250" s="197">
        <f>IFERROR(AVERAGEIFS($J$242:$J$243,$J$242:$J$243,"&gt;180",$J$242:$J$243,"&lt;=500",$H$242:$H$243,"=Onshore",$D$242:$D$243,"=Saline"),0)</f>
        <v>0</v>
      </c>
      <c r="D250" s="197">
        <f>SUMIFS($I$242:$I$243,$J$242:$J$243,"&gt;180",$J$242:$J$243,"&lt;=500",$H$242:$H$243,"=Onshore",$D$242:$D$243,"=Saline")</f>
        <v>0</v>
      </c>
      <c r="E250" s="197">
        <f>IFERROR(AVERAGEIFS($J$242:$J$243,$J$242:$J$243,"&gt;180",$J$242:$J$243,"&lt;=500",$H$242:$H$243,"=Onshore",$D$242:$D$243,"=Carbon"),0)</f>
        <v>0</v>
      </c>
      <c r="F250" s="197">
        <f>SUMIFS($I$242:$I$243,$J$242:$J$243,"&gt;180",$J$242:$J$243,"&lt;=500",$H$242:$H$243,"=Onshore",$D$242:$D$243,"=Carbon")</f>
        <v>0</v>
      </c>
    </row>
    <row r="251" spans="1:13">
      <c r="A251" s="197" t="s">
        <v>400</v>
      </c>
      <c r="B251" s="197" t="s">
        <v>560</v>
      </c>
      <c r="C251" s="204">
        <f>IFERROR(AVERAGEIFS($J$242:$J$243,$J$242:$J$243,"&gt;180",$J$242:$J$243,"&lt;=500",$H$242:$H$243,"=Offshore",$D$242:$D$243,"=Saline"),0)</f>
        <v>0</v>
      </c>
      <c r="D251" s="197">
        <f>IFERROR(SUMIFS($I$242:$I$243,$J$242:$J$243,"&gt;180",$J$242:$J$243,"&lt;=500",$H$242:$H$243,"=Offshore",$D$242:$D$243,"=Saline"),0)</f>
        <v>0</v>
      </c>
      <c r="E251" s="204">
        <f>IFERROR(AVERAGEIFS($J$242:$J$243,$J$242:$J$243,"&gt;180",$J$242:$J$243,"&lt;=500",$H$242:$H$243,"=Offshore",$D$242:$D$243,"=Carbon"),0)</f>
        <v>0</v>
      </c>
      <c r="F251" s="197">
        <f>IFERROR(SUMIFS($I$242:$I$243,$J$242:$J$243,"&gt;180",$J$242:$J$243,"&lt;=500",$H$242:$H$243,"=Offshore",$D$242:$D$243,"=Carbon"),0)</f>
        <v>0</v>
      </c>
    </row>
    <row r="252" spans="1:13">
      <c r="A252" s="197" t="s">
        <v>399</v>
      </c>
      <c r="B252" s="197" t="s">
        <v>561</v>
      </c>
      <c r="C252" s="197">
        <f>IFERROR(AVERAGEIFS($J$242:$J$243,$J$242:$J$243,"&gt;500",$H$242:$H$243,"=Onshore",$D$242:$D$243,"=Saline"),0)</f>
        <v>0</v>
      </c>
      <c r="D252" s="197">
        <f>IFERROR(SUMIFS($I$242:$I$243,$J$242:$J$243,"&gt;500",$H$242:$H$243,"=Onshore",$D$242:$D$243,"=Saline"),0)</f>
        <v>0</v>
      </c>
      <c r="E252" s="197">
        <f>IFERROR(AVERAGEIFS($J$242:$J$243,$J$242:$J$243,"&gt;500",$H$242:$H$243,"=Onshore",$D$242:$D$243,"=Carbon"),0)</f>
        <v>0</v>
      </c>
      <c r="F252" s="197">
        <f>IFERROR(SUMIFS($I$242:$I$243,$J$242:$J$243,"&gt;500",$H$242:$H$243,"=Onshore",$D$242:$D$243,"=Carbon"),0)</f>
        <v>0</v>
      </c>
    </row>
    <row r="253" spans="1:13">
      <c r="A253" s="197" t="s">
        <v>400</v>
      </c>
      <c r="B253" s="197" t="s">
        <v>561</v>
      </c>
      <c r="C253" s="197">
        <f>IFERROR(AVERAGEIFS($J$242:$J$243,$J$242:$J$243,"&gt;500",$H$242:$H$243,"=Offshore",$D$242:$D$243,"=Saline"),0)</f>
        <v>915</v>
      </c>
      <c r="D253" s="197">
        <f>IFERROR(SUMIFS($I$242:$I$243,$J$242:$J$243,"&gt;500",$H$242:$H$243,"=Offshore",$D$242:$D$243,"=Saline"),0)</f>
        <v>0.33999999999999997</v>
      </c>
      <c r="E253" s="197">
        <f>IFERROR(AVERAGEIFS($J$242:$J$243,$J$242:$J$243,"&gt;500",$H$242:$H$243,"=Offshore",$D$242:$D$243,"=Carbon"),0)</f>
        <v>0</v>
      </c>
      <c r="F253" s="197">
        <f>IFERROR(SUMIFS($I$242:$I$243,$J$242:$J$243,"&gt;500",$H$242:$H$243,"=Offshore",$D$242:$D$243,"=Carbon"),0)</f>
        <v>0</v>
      </c>
    </row>
    <row r="254" spans="1:13">
      <c r="A254" s="197" t="s">
        <v>463</v>
      </c>
      <c r="C254" s="197" t="s">
        <v>513</v>
      </c>
      <c r="D254" s="197" t="s">
        <v>514</v>
      </c>
      <c r="E254" s="197" t="s">
        <v>513</v>
      </c>
      <c r="F254" s="197" t="s">
        <v>514</v>
      </c>
    </row>
    <row r="255" spans="1:13">
      <c r="A255" s="197" t="s">
        <v>399</v>
      </c>
      <c r="B255" s="197" t="s">
        <v>557</v>
      </c>
      <c r="C255" s="197">
        <f>IFERROR(AVERAGEIFS($J$244:$J$245,$J$244:$J$245,"&lt;=180",$H$244:$H$245,"=Onshore",$D$244:$D$245,"=Saline"),0)</f>
        <v>0</v>
      </c>
      <c r="D255" s="197">
        <f>IFERROR(SUMIFS($I$244:$I$245,$J$244:$J$245,"&lt;=180",$H$244:$H$245,"=Onshore",$D$244:$D$245,"=Saline"),0)</f>
        <v>0</v>
      </c>
      <c r="E255" s="197">
        <f>IFERROR(AVERAGEIFS($J$244:$J$245,$J$244:$J$245,"&lt;=180",$H$244:$H$245,"=Onshore",$D$244:$D$245,"=Carbon"),0)</f>
        <v>0</v>
      </c>
      <c r="F255" s="197">
        <f>IFERROR(SUMIFS($I$244:$I$245,$J$244:$J$245,"&lt;=180",$H$244:$H$245,"=Onshore",$D$244:$D$245,"=Carbon"),0)</f>
        <v>0</v>
      </c>
    </row>
    <row r="256" spans="1:13">
      <c r="A256" s="197" t="s">
        <v>400</v>
      </c>
      <c r="B256" s="197" t="s">
        <v>557</v>
      </c>
      <c r="C256" s="197">
        <f>IFERROR(AVERAGEIFS($J$244:$J$245,$J$244:$J$245,"&lt;=180",$H$244:$H$245,"=Offshore",$D$244:$D$245,"=Saline"),0)</f>
        <v>0</v>
      </c>
      <c r="D256" s="197">
        <f>IFERROR(SUMIFS($I$244:$I$245,$J$244:$J$245,"&lt;=180",$H$244:$H$245,"=Offshore",$D$244:$D$245,"=Saline"),0)</f>
        <v>0</v>
      </c>
      <c r="E256" s="197">
        <f>IFERROR(AVERAGEIFS($J$244:$J$245,$J$244:$J$245,"&lt;=180",$H$244:$H$245,"=Offshore",$D$244:$D$245,"=Carbon"),0)</f>
        <v>0</v>
      </c>
      <c r="F256" s="197">
        <f>IFERROR(SUMIFS($I$244:$I$245,$J$244:$J$245,"&lt;=180",$H$244:$H$245,"=Offshore",$D$244:$D$245,"=Carbon"),0)</f>
        <v>0</v>
      </c>
    </row>
    <row r="257" spans="1:6">
      <c r="A257" s="197" t="s">
        <v>399</v>
      </c>
      <c r="B257" s="197" t="s">
        <v>560</v>
      </c>
      <c r="C257" s="197">
        <f>IFERROR(AVERAGEIFS($J$244:$J$245,$J$244:$J$245,"&gt;180",$J$244:$J$245,"&lt;=500",$H$244:$H$245,"=Onshore",$D$244:$D$245,"=Saline"),0)</f>
        <v>0</v>
      </c>
      <c r="D257" s="197">
        <f>SUMIFS($I$244:$I$245,$J$244:$J$245,"&gt;180",$J$244:$J$245,"&lt;=500",$H$244:$H$245,"=Onshore",$D$244:$D$245,"=Saline")</f>
        <v>0</v>
      </c>
      <c r="E257" s="197">
        <f>IFERROR(AVERAGEIFS($J$244:$J$245,$J$244:$J$245,"&gt;180",$J$244:$J$245,"&lt;=500",$H$244:$H$245,"=Onshore",$D$244:$D$245,"=Carbon"),0)</f>
        <v>0</v>
      </c>
      <c r="F257" s="197">
        <f>SUMIFS($I$244:$I$245,$J$244:$J$245,"&gt;180",$J$244:$J$245,"&lt;=500",$H$244:$H$245,"=Onshore",$D$244:$D$245,"=Carbon")</f>
        <v>0</v>
      </c>
    </row>
    <row r="258" spans="1:6">
      <c r="A258" s="197" t="s">
        <v>400</v>
      </c>
      <c r="B258" s="197" t="s">
        <v>560</v>
      </c>
      <c r="C258" s="204">
        <f>IFERROR(AVERAGEIFS($J$244:$J$245,$J$244:$J$245,"&gt;180",$J$244:$J$245,"&lt;=500",$H$244:$H$245,"=Offshore",$D$244:$D$245,"=Saline"),0)</f>
        <v>0</v>
      </c>
      <c r="D258" s="197">
        <f>IFERROR(SUMIFS($I$244:$I$245,$J$244:$J$245,"&gt;180",$J$244:$J$245,"&lt;=500",$H$244:$H$245,"=Offshore",$D$244:$D$245,"=Saline"),0)</f>
        <v>0</v>
      </c>
      <c r="E258" s="204">
        <f>IFERROR(AVERAGEIFS($J$244:$J$245,$J$244:$J$245,"&gt;180",$J$244:$J$245,"&lt;=500",$H$244:$H$245,"=Offshore",$D$244:$D$245,"=Carbon"),0)</f>
        <v>0</v>
      </c>
      <c r="F258" s="197">
        <f>IFERROR(SUMIFS($I$244:$I$245,$J$244:$J$245,"&gt;180",$J$244:$J$245,"&lt;=500",$H$244:$H$245,"=Offshore",$D$244:$D$245,"=Carbon"),0)</f>
        <v>0</v>
      </c>
    </row>
    <row r="259" spans="1:6">
      <c r="A259" s="197" t="s">
        <v>399</v>
      </c>
      <c r="B259" s="197" t="s">
        <v>561</v>
      </c>
      <c r="C259" s="197">
        <f>IFERROR(AVERAGEIFS($J$244:$J$245,$J$244:$J$245,"&gt;500",$H$244:$H$245,"=Onshore",$D$244:$D$245,"=Saline"),0)</f>
        <v>0</v>
      </c>
      <c r="D259" s="197">
        <f>IFERROR(SUMIFS($I$244:$I$245,$J$244:$J$245,"&gt;500",$H$244:$H$245,"=Onshore",$D$244:$D$245,"=Saline"),0)</f>
        <v>0</v>
      </c>
      <c r="E259" s="197">
        <f>IFERROR(AVERAGEIFS($J$244:$J$245,$J$244:$J$245,"&gt;500",$H$244:$H$245,"=Onshore",$D$244:$D$245,"=Carbon"),0)</f>
        <v>0</v>
      </c>
      <c r="F259" s="197">
        <f>IFERROR(SUMIFS($I$244:$I$245,$J$244:$J$245,"&gt;500",$H$244:$H$245,"=Onshore",$D$244:$D$245,"=Carbon"),0)</f>
        <v>0</v>
      </c>
    </row>
    <row r="260" spans="1:6">
      <c r="A260" s="197" t="s">
        <v>400</v>
      </c>
      <c r="B260" s="197" t="s">
        <v>561</v>
      </c>
      <c r="C260" s="197">
        <f>IFERROR(AVERAGEIFS($J$244:$J$245,$J$244:$J$245,"&gt;500",$H$244:$H$245,"=Offshore",$D$244:$D$245,"=Saline"),0)</f>
        <v>1280</v>
      </c>
      <c r="D260" s="197">
        <f>IFERROR(SUMIFS($I$242:$I$243,$J$242:$J$243,"&gt;500",$H$242:$H$243,"=Offshore",$D$244:$D$245,"=Saline"),0)</f>
        <v>0.33999999999999997</v>
      </c>
      <c r="E260" s="197">
        <f>IFERROR(AVERAGEIFS($J$244:$J$245,$J$244:$J$245,"&gt;500",$H$244:$H$245,"=Offshore",$D$244:$D$245,"=Carbon"),0)</f>
        <v>0</v>
      </c>
      <c r="F260" s="197">
        <f>IFERROR(SUMIFS($I$242:$I$243,$J$242:$J$243,"&gt;500",$H$242:$H$243,"=Offshore",$D$244:$D$245,"=Carbon"),0)</f>
        <v>0</v>
      </c>
    </row>
    <row r="264" spans="1:6">
      <c r="A264" s="197" t="s">
        <v>589</v>
      </c>
    </row>
    <row r="265" spans="1:6">
      <c r="A265" s="197" t="s">
        <v>590</v>
      </c>
      <c r="B265" s="197" t="s">
        <v>591</v>
      </c>
      <c r="C265" s="197" t="s">
        <v>532</v>
      </c>
      <c r="D265" s="197" t="s">
        <v>592</v>
      </c>
      <c r="E265" s="197" t="s">
        <v>593</v>
      </c>
      <c r="F265" s="197" t="s">
        <v>594</v>
      </c>
    </row>
    <row r="266" spans="1:6">
      <c r="A266" s="197" t="s">
        <v>595</v>
      </c>
      <c r="B266" s="197" t="s">
        <v>596</v>
      </c>
      <c r="C266" s="197" t="s">
        <v>493</v>
      </c>
      <c r="D266" s="197">
        <v>-17</v>
      </c>
      <c r="E266" s="197">
        <v>1.2</v>
      </c>
      <c r="F266" s="197">
        <f t="shared" ref="F266:F278" si="14">E266*1000</f>
        <v>1200</v>
      </c>
    </row>
    <row r="267" spans="1:6">
      <c r="A267" s="197" t="s">
        <v>595</v>
      </c>
      <c r="B267" s="197" t="s">
        <v>597</v>
      </c>
      <c r="C267" s="197" t="s">
        <v>493</v>
      </c>
      <c r="D267" s="197">
        <v>-22</v>
      </c>
      <c r="E267" s="197">
        <v>21.3</v>
      </c>
      <c r="F267" s="197">
        <f t="shared" si="14"/>
        <v>21300</v>
      </c>
    </row>
    <row r="268" spans="1:6">
      <c r="A268" s="197" t="s">
        <v>595</v>
      </c>
      <c r="B268" s="197" t="s">
        <v>598</v>
      </c>
      <c r="C268" s="197" t="s">
        <v>493</v>
      </c>
      <c r="D268" s="197">
        <v>-26</v>
      </c>
      <c r="E268" s="197">
        <v>0.8</v>
      </c>
      <c r="F268" s="197">
        <f t="shared" si="14"/>
        <v>800</v>
      </c>
    </row>
    <row r="269" spans="1:6">
      <c r="A269" s="197" t="s">
        <v>595</v>
      </c>
      <c r="B269" s="197" t="s">
        <v>599</v>
      </c>
      <c r="C269" s="197" t="s">
        <v>493</v>
      </c>
      <c r="D269" s="197">
        <v>-28</v>
      </c>
      <c r="E269" s="197">
        <v>11.5</v>
      </c>
      <c r="F269" s="197">
        <f t="shared" si="14"/>
        <v>11500</v>
      </c>
    </row>
    <row r="270" spans="1:6">
      <c r="A270" s="197" t="s">
        <v>595</v>
      </c>
      <c r="B270" s="197" t="s">
        <v>600</v>
      </c>
      <c r="C270" s="197" t="s">
        <v>493</v>
      </c>
      <c r="D270" s="197">
        <v>-43</v>
      </c>
      <c r="E270" s="197">
        <v>8</v>
      </c>
      <c r="F270" s="197">
        <f t="shared" si="14"/>
        <v>8000</v>
      </c>
    </row>
    <row r="271" spans="1:6">
      <c r="A271" s="197" t="s">
        <v>601</v>
      </c>
      <c r="B271" s="197" t="s">
        <v>602</v>
      </c>
      <c r="C271" s="197" t="s">
        <v>484</v>
      </c>
      <c r="D271" s="197">
        <v>-47</v>
      </c>
      <c r="E271" s="197">
        <v>0.9</v>
      </c>
      <c r="F271" s="197">
        <f t="shared" si="14"/>
        <v>900</v>
      </c>
    </row>
    <row r="272" spans="1:6">
      <c r="A272" s="197" t="s">
        <v>595</v>
      </c>
      <c r="B272" s="197" t="s">
        <v>603</v>
      </c>
      <c r="C272" s="197" t="s">
        <v>604</v>
      </c>
      <c r="D272" s="197">
        <v>-48</v>
      </c>
      <c r="E272" s="197">
        <v>3.7</v>
      </c>
      <c r="F272" s="197">
        <f t="shared" si="14"/>
        <v>3700</v>
      </c>
    </row>
    <row r="273" spans="1:6">
      <c r="A273" s="197" t="s">
        <v>601</v>
      </c>
      <c r="B273" s="197" t="s">
        <v>605</v>
      </c>
      <c r="C273" s="197" t="s">
        <v>484</v>
      </c>
      <c r="D273" s="197">
        <v>-49</v>
      </c>
      <c r="E273" s="197">
        <v>0.6</v>
      </c>
      <c r="F273" s="197">
        <f t="shared" si="14"/>
        <v>600</v>
      </c>
    </row>
    <row r="274" spans="1:6">
      <c r="A274" s="197" t="s">
        <v>601</v>
      </c>
      <c r="B274" s="197" t="s">
        <v>606</v>
      </c>
      <c r="C274" s="197" t="s">
        <v>484</v>
      </c>
      <c r="D274" s="197">
        <v>-57</v>
      </c>
      <c r="E274" s="197">
        <v>11</v>
      </c>
      <c r="F274" s="197">
        <f t="shared" si="14"/>
        <v>11000</v>
      </c>
    </row>
    <row r="275" spans="1:6">
      <c r="A275" s="197" t="s">
        <v>595</v>
      </c>
      <c r="B275" s="197" t="s">
        <v>502</v>
      </c>
      <c r="C275" s="197" t="s">
        <v>500</v>
      </c>
      <c r="D275" s="197">
        <v>-60</v>
      </c>
      <c r="E275" s="197">
        <v>0.7</v>
      </c>
      <c r="F275" s="197">
        <f t="shared" si="14"/>
        <v>700</v>
      </c>
    </row>
    <row r="276" spans="1:6">
      <c r="A276" s="197" t="s">
        <v>601</v>
      </c>
      <c r="B276" s="197" t="s">
        <v>607</v>
      </c>
      <c r="C276" s="197" t="s">
        <v>484</v>
      </c>
      <c r="D276" s="197">
        <v>-62</v>
      </c>
      <c r="E276" s="197">
        <v>2.8</v>
      </c>
      <c r="F276" s="197">
        <f t="shared" si="14"/>
        <v>2800</v>
      </c>
    </row>
    <row r="277" spans="1:6">
      <c r="A277" s="197" t="s">
        <v>595</v>
      </c>
      <c r="B277" s="197" t="s">
        <v>608</v>
      </c>
      <c r="C277" s="197" t="s">
        <v>500</v>
      </c>
      <c r="D277" s="197">
        <v>-64</v>
      </c>
      <c r="E277" s="197">
        <v>0.5</v>
      </c>
      <c r="F277" s="197">
        <f t="shared" si="14"/>
        <v>500</v>
      </c>
    </row>
    <row r="278" spans="1:6">
      <c r="A278" s="197" t="s">
        <v>595</v>
      </c>
      <c r="B278" s="197" t="s">
        <v>609</v>
      </c>
      <c r="C278" s="197" t="s">
        <v>500</v>
      </c>
      <c r="D278" s="197">
        <v>-76</v>
      </c>
      <c r="E278" s="197">
        <v>0.5</v>
      </c>
      <c r="F278" s="197">
        <f t="shared" si="14"/>
        <v>500</v>
      </c>
    </row>
    <row r="280" spans="1:6">
      <c r="A280" s="197" t="s">
        <v>610</v>
      </c>
    </row>
    <row r="281" spans="1:6">
      <c r="A281" s="197" t="s">
        <v>484</v>
      </c>
      <c r="B281" s="197" t="s">
        <v>611</v>
      </c>
      <c r="C281" s="197" t="s">
        <v>594</v>
      </c>
      <c r="D281" s="197" t="s">
        <v>493</v>
      </c>
      <c r="E281" s="197" t="s">
        <v>611</v>
      </c>
      <c r="F281" s="197" t="s">
        <v>594</v>
      </c>
    </row>
    <row r="282" spans="1:6">
      <c r="A282" s="197" t="s">
        <v>607</v>
      </c>
      <c r="B282" s="197">
        <v>2.8</v>
      </c>
      <c r="C282" s="197">
        <f t="shared" ref="C282:C292" si="15">B282*1000</f>
        <v>2800</v>
      </c>
      <c r="D282" s="197" t="s">
        <v>612</v>
      </c>
      <c r="E282" s="197">
        <v>15.8</v>
      </c>
      <c r="F282" s="197">
        <f t="shared" ref="F282:F291" si="16">E282*1000</f>
        <v>15800</v>
      </c>
    </row>
    <row r="283" spans="1:6">
      <c r="A283" s="197" t="s">
        <v>613</v>
      </c>
      <c r="B283" s="197">
        <v>0.6</v>
      </c>
      <c r="C283" s="197">
        <f t="shared" si="15"/>
        <v>600</v>
      </c>
      <c r="D283" s="197" t="s">
        <v>614</v>
      </c>
      <c r="E283" s="197">
        <f>13.6+2.6</f>
        <v>16.2</v>
      </c>
      <c r="F283" s="197">
        <f t="shared" si="16"/>
        <v>16200</v>
      </c>
    </row>
    <row r="284" spans="1:6">
      <c r="A284" s="197" t="s">
        <v>615</v>
      </c>
      <c r="B284" s="197">
        <v>0.9</v>
      </c>
      <c r="C284" s="197">
        <f t="shared" si="15"/>
        <v>900</v>
      </c>
      <c r="D284" s="197" t="s">
        <v>616</v>
      </c>
      <c r="E284" s="197">
        <v>4.0999999999999996</v>
      </c>
      <c r="F284" s="197">
        <f t="shared" si="16"/>
        <v>4100</v>
      </c>
    </row>
    <row r="285" spans="1:6">
      <c r="A285" s="197" t="s">
        <v>617</v>
      </c>
      <c r="B285" s="197">
        <v>0.09</v>
      </c>
      <c r="C285" s="197">
        <f t="shared" si="15"/>
        <v>90</v>
      </c>
      <c r="D285" s="197" t="s">
        <v>618</v>
      </c>
      <c r="E285" s="197">
        <v>3.6</v>
      </c>
      <c r="F285" s="197">
        <f t="shared" si="16"/>
        <v>3600</v>
      </c>
    </row>
    <row r="286" spans="1:6">
      <c r="A286" s="197" t="s">
        <v>619</v>
      </c>
      <c r="B286" s="197">
        <v>0.2</v>
      </c>
      <c r="C286" s="197">
        <f t="shared" si="15"/>
        <v>200</v>
      </c>
      <c r="D286" s="197" t="s">
        <v>613</v>
      </c>
      <c r="E286" s="197">
        <v>2.9</v>
      </c>
      <c r="F286" s="197">
        <f t="shared" si="16"/>
        <v>2900</v>
      </c>
    </row>
    <row r="287" spans="1:6">
      <c r="A287" s="197" t="s">
        <v>620</v>
      </c>
      <c r="B287" s="197">
        <v>0.05</v>
      </c>
      <c r="C287" s="197">
        <f t="shared" si="15"/>
        <v>50</v>
      </c>
      <c r="D287" s="197" t="s">
        <v>621</v>
      </c>
      <c r="E287" s="197">
        <v>1.8</v>
      </c>
      <c r="F287" s="197">
        <f t="shared" si="16"/>
        <v>1800</v>
      </c>
    </row>
    <row r="288" spans="1:6">
      <c r="A288" s="197" t="s">
        <v>606</v>
      </c>
      <c r="B288" s="197">
        <v>11</v>
      </c>
      <c r="C288" s="197">
        <f t="shared" si="15"/>
        <v>11000</v>
      </c>
      <c r="D288" s="197" t="s">
        <v>622</v>
      </c>
      <c r="E288" s="197">
        <v>1</v>
      </c>
      <c r="F288" s="197">
        <f t="shared" si="16"/>
        <v>1000</v>
      </c>
    </row>
    <row r="289" spans="1:6">
      <c r="A289" s="197" t="s">
        <v>623</v>
      </c>
      <c r="B289" s="197">
        <v>0.09</v>
      </c>
      <c r="C289" s="197">
        <f t="shared" si="15"/>
        <v>90</v>
      </c>
      <c r="D289" s="197" t="s">
        <v>624</v>
      </c>
      <c r="E289" s="197">
        <v>0.1</v>
      </c>
      <c r="F289" s="197">
        <f t="shared" si="16"/>
        <v>100</v>
      </c>
    </row>
    <row r="290" spans="1:6">
      <c r="A290" s="197" t="s">
        <v>625</v>
      </c>
      <c r="B290" s="197">
        <v>0.2</v>
      </c>
      <c r="C290" s="197">
        <f t="shared" si="15"/>
        <v>200</v>
      </c>
      <c r="D290" s="197" t="s">
        <v>626</v>
      </c>
      <c r="E290" s="197">
        <f>0.1+0.05</f>
        <v>0.15000000000000002</v>
      </c>
      <c r="F290" s="197">
        <f t="shared" si="16"/>
        <v>150.00000000000003</v>
      </c>
    </row>
    <row r="291" spans="1:6">
      <c r="A291" s="197" t="s">
        <v>627</v>
      </c>
      <c r="B291" s="197">
        <v>0.3</v>
      </c>
      <c r="C291" s="197">
        <f t="shared" si="15"/>
        <v>300</v>
      </c>
      <c r="D291" s="197" t="s">
        <v>160</v>
      </c>
      <c r="E291" s="197">
        <v>27</v>
      </c>
      <c r="F291" s="197">
        <f t="shared" si="16"/>
        <v>27000</v>
      </c>
    </row>
    <row r="292" spans="1:6">
      <c r="A292" s="197" t="s">
        <v>628</v>
      </c>
      <c r="B292" s="197">
        <v>2.2000000000000002</v>
      </c>
      <c r="C292" s="197">
        <f t="shared" si="15"/>
        <v>2200</v>
      </c>
    </row>
  </sheetData>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675EC-34DE-48D4-89BB-E2A3B6B98BEC}">
  <sheetPr>
    <tabColor theme="5" tint="0.59999389629810485"/>
  </sheetPr>
  <dimension ref="A1:Q56"/>
  <sheetViews>
    <sheetView zoomScale="130" zoomScaleNormal="130" workbookViewId="0">
      <selection activeCell="C5" sqref="C5"/>
    </sheetView>
  </sheetViews>
  <sheetFormatPr defaultColWidth="8.6640625" defaultRowHeight="14.4"/>
  <cols>
    <col min="1" max="1" width="40.6640625" style="254" customWidth="1"/>
    <col min="2" max="10" width="8.5546875" style="254" customWidth="1"/>
    <col min="11" max="12" width="6.33203125" style="254" customWidth="1"/>
    <col min="13" max="13" width="8.6640625" style="254"/>
    <col min="14" max="14" width="10" style="254" bestFit="1" customWidth="1"/>
    <col min="15" max="15" width="8.88671875" style="254" bestFit="1" customWidth="1"/>
    <col min="16" max="16" width="10.109375" style="254" bestFit="1" customWidth="1"/>
    <col min="17" max="16384" width="8.6640625" style="254"/>
  </cols>
  <sheetData>
    <row r="1" spans="1:17" s="134" customFormat="1"/>
    <row r="2" spans="1:17" ht="15.75" customHeight="1">
      <c r="A2" s="253" t="s">
        <v>700</v>
      </c>
      <c r="B2" s="387" t="s">
        <v>701</v>
      </c>
      <c r="C2" s="388"/>
      <c r="D2" s="389"/>
      <c r="E2" s="389"/>
      <c r="F2" s="389"/>
      <c r="G2" s="389"/>
      <c r="H2" s="389"/>
      <c r="I2" s="389"/>
      <c r="J2" s="389"/>
      <c r="K2" s="389"/>
      <c r="L2" s="390"/>
    </row>
    <row r="3" spans="1:17" ht="15.75" customHeight="1">
      <c r="A3" s="255"/>
      <c r="B3" s="256">
        <v>2020</v>
      </c>
      <c r="C3" s="256">
        <v>2025</v>
      </c>
      <c r="D3" s="257">
        <v>2030</v>
      </c>
      <c r="E3" s="257">
        <v>2040</v>
      </c>
      <c r="F3" s="258">
        <v>2050</v>
      </c>
      <c r="G3" s="391" t="s">
        <v>702</v>
      </c>
      <c r="H3" s="392"/>
      <c r="I3" s="393" t="s">
        <v>703</v>
      </c>
      <c r="J3" s="394"/>
      <c r="K3" s="257" t="s">
        <v>537</v>
      </c>
      <c r="L3" s="259" t="s">
        <v>704</v>
      </c>
    </row>
    <row r="4" spans="1:17">
      <c r="A4" s="255"/>
      <c r="B4" s="260"/>
      <c r="C4" s="261"/>
      <c r="D4" s="262"/>
      <c r="E4" s="262"/>
      <c r="F4" s="262"/>
      <c r="G4" s="263" t="s">
        <v>705</v>
      </c>
      <c r="H4" s="263" t="s">
        <v>706</v>
      </c>
      <c r="I4" s="263" t="s">
        <v>705</v>
      </c>
      <c r="J4" s="263" t="s">
        <v>706</v>
      </c>
      <c r="K4" s="262"/>
      <c r="L4" s="264"/>
    </row>
    <row r="5" spans="1:17">
      <c r="A5" s="265" t="s">
        <v>707</v>
      </c>
      <c r="B5" s="262"/>
      <c r="C5" s="262"/>
      <c r="D5" s="262"/>
      <c r="E5" s="262"/>
      <c r="F5" s="262"/>
      <c r="G5" s="262"/>
      <c r="H5" s="262"/>
      <c r="I5" s="262"/>
      <c r="J5" s="262"/>
      <c r="K5" s="262"/>
      <c r="L5" s="264"/>
    </row>
    <row r="6" spans="1:17">
      <c r="A6" s="266" t="s">
        <v>708</v>
      </c>
      <c r="B6" s="267">
        <v>0.1</v>
      </c>
      <c r="C6" s="267">
        <v>0.2</v>
      </c>
      <c r="D6" s="267">
        <v>2</v>
      </c>
      <c r="E6" s="267">
        <v>50</v>
      </c>
      <c r="F6" s="267">
        <v>125</v>
      </c>
      <c r="G6" s="267">
        <v>0.1</v>
      </c>
      <c r="H6" s="267">
        <v>0.4</v>
      </c>
      <c r="I6" s="267">
        <v>50</v>
      </c>
      <c r="J6" s="267">
        <v>200</v>
      </c>
      <c r="K6" s="267" t="s">
        <v>709</v>
      </c>
      <c r="L6" s="267">
        <v>1</v>
      </c>
    </row>
    <row r="7" spans="1:17">
      <c r="A7" s="268" t="s">
        <v>710</v>
      </c>
      <c r="B7" s="269"/>
      <c r="C7" s="269"/>
      <c r="D7" s="269"/>
      <c r="E7" s="269"/>
      <c r="F7" s="269"/>
      <c r="G7" s="269"/>
      <c r="H7" s="269"/>
      <c r="I7" s="269"/>
      <c r="J7" s="269"/>
      <c r="K7" s="269"/>
      <c r="L7" s="270"/>
    </row>
    <row r="8" spans="1:17">
      <c r="A8" s="266" t="s">
        <v>711</v>
      </c>
      <c r="B8" s="271">
        <v>3300</v>
      </c>
      <c r="C8" s="271">
        <v>3300</v>
      </c>
      <c r="D8" s="272">
        <v>2800</v>
      </c>
      <c r="E8" s="272">
        <v>2400</v>
      </c>
      <c r="F8" s="272">
        <v>2100</v>
      </c>
      <c r="G8" s="272">
        <v>3000</v>
      </c>
      <c r="H8" s="272">
        <v>3600</v>
      </c>
      <c r="I8" s="272">
        <v>2000</v>
      </c>
      <c r="J8" s="272">
        <v>3000</v>
      </c>
      <c r="K8" s="272" t="s">
        <v>712</v>
      </c>
      <c r="L8" s="272"/>
    </row>
    <row r="9" spans="1:17">
      <c r="A9" s="273" t="s">
        <v>713</v>
      </c>
      <c r="B9" s="274">
        <v>2.5</v>
      </c>
      <c r="C9" s="274">
        <v>2.5</v>
      </c>
      <c r="D9" s="275">
        <v>2</v>
      </c>
      <c r="E9" s="267">
        <v>1.5</v>
      </c>
      <c r="F9" s="267">
        <v>1.5</v>
      </c>
      <c r="G9" s="267">
        <v>1.5</v>
      </c>
      <c r="H9" s="267">
        <v>2.5</v>
      </c>
      <c r="I9" s="267">
        <v>1.4</v>
      </c>
      <c r="J9" s="275">
        <v>2</v>
      </c>
      <c r="K9" s="267" t="s">
        <v>714</v>
      </c>
      <c r="L9" s="267" t="s">
        <v>715</v>
      </c>
      <c r="P9" s="254">
        <f>E9*300</f>
        <v>450</v>
      </c>
      <c r="Q9" s="254" t="s">
        <v>716</v>
      </c>
    </row>
    <row r="10" spans="1:17">
      <c r="A10" s="276" t="s">
        <v>717</v>
      </c>
      <c r="B10" s="274">
        <v>0.35</v>
      </c>
      <c r="C10" s="274">
        <v>0.35</v>
      </c>
      <c r="D10" s="274">
        <v>0.32</v>
      </c>
      <c r="E10" s="274">
        <v>0.3</v>
      </c>
      <c r="F10" s="274">
        <v>0.28000000000000003</v>
      </c>
      <c r="G10" s="277">
        <v>0.2</v>
      </c>
      <c r="H10" s="277">
        <v>0.5</v>
      </c>
      <c r="I10" s="267">
        <v>0.25</v>
      </c>
      <c r="J10" s="267">
        <v>0.35</v>
      </c>
      <c r="K10" s="267" t="s">
        <v>718</v>
      </c>
      <c r="L10" s="267" t="s">
        <v>715</v>
      </c>
      <c r="P10" s="254">
        <f>E10*600</f>
        <v>180</v>
      </c>
      <c r="Q10" s="254" t="s">
        <v>716</v>
      </c>
    </row>
    <row r="11" spans="1:17">
      <c r="A11" s="266" t="s">
        <v>719</v>
      </c>
      <c r="B11" s="274"/>
      <c r="C11" s="274"/>
      <c r="D11" s="267"/>
      <c r="E11" s="267"/>
      <c r="F11" s="267"/>
      <c r="G11" s="267"/>
      <c r="H11" s="267"/>
      <c r="I11" s="267"/>
      <c r="J11" s="267"/>
      <c r="K11" s="267"/>
      <c r="L11" s="267"/>
      <c r="P11" s="254">
        <f>SUM(P9:P10)</f>
        <v>630</v>
      </c>
      <c r="Q11" s="254" t="s">
        <v>716</v>
      </c>
    </row>
    <row r="12" spans="1:17">
      <c r="A12" s="278" t="s">
        <v>720</v>
      </c>
      <c r="B12" s="279"/>
      <c r="C12" s="279"/>
      <c r="D12" s="279"/>
      <c r="E12" s="279"/>
      <c r="F12" s="279"/>
      <c r="G12" s="279"/>
      <c r="H12" s="279"/>
      <c r="I12" s="279"/>
      <c r="J12" s="279"/>
      <c r="K12" s="279"/>
      <c r="L12" s="280"/>
      <c r="P12" s="254">
        <f>E24*1000000*7.45/(E21*8760*0.95)</f>
        <v>223.80437394857006</v>
      </c>
      <c r="Q12" s="254" t="s">
        <v>716</v>
      </c>
    </row>
    <row r="13" spans="1:17">
      <c r="A13" s="281" t="s">
        <v>721</v>
      </c>
      <c r="B13" s="271">
        <v>99.9</v>
      </c>
      <c r="C13" s="271">
        <v>99.9</v>
      </c>
      <c r="D13" s="271">
        <v>99.9</v>
      </c>
      <c r="E13" s="271">
        <v>99.9</v>
      </c>
      <c r="F13" s="271">
        <v>99.9</v>
      </c>
      <c r="G13" s="272"/>
      <c r="H13" s="272"/>
      <c r="I13" s="272"/>
      <c r="J13" s="272"/>
      <c r="K13" s="272" t="s">
        <v>722</v>
      </c>
      <c r="L13" s="272">
        <v>2.4</v>
      </c>
      <c r="P13" s="254">
        <f>P12+P11</f>
        <v>853.80437394857006</v>
      </c>
      <c r="Q13" s="254" t="s">
        <v>716</v>
      </c>
    </row>
    <row r="14" spans="1:17">
      <c r="A14" s="281" t="s">
        <v>723</v>
      </c>
      <c r="B14" s="271">
        <v>20</v>
      </c>
      <c r="C14" s="271">
        <v>20</v>
      </c>
      <c r="D14" s="271">
        <v>20</v>
      </c>
      <c r="E14" s="271">
        <v>20</v>
      </c>
      <c r="F14" s="272">
        <v>20</v>
      </c>
      <c r="G14" s="272"/>
      <c r="H14" s="272"/>
      <c r="I14" s="272"/>
      <c r="J14" s="272"/>
      <c r="K14" s="272"/>
      <c r="L14" s="272">
        <v>2</v>
      </c>
      <c r="P14" s="254">
        <f>E27*1000000/8760</f>
        <v>28.253424657534246</v>
      </c>
      <c r="Q14" s="254" t="s">
        <v>716</v>
      </c>
    </row>
    <row r="15" spans="1:17">
      <c r="A15" s="281" t="s">
        <v>724</v>
      </c>
      <c r="B15" s="271">
        <v>1</v>
      </c>
      <c r="C15" s="271">
        <v>1</v>
      </c>
      <c r="D15" s="271">
        <v>1</v>
      </c>
      <c r="E15" s="271">
        <v>1</v>
      </c>
      <c r="F15" s="271">
        <v>1</v>
      </c>
      <c r="G15" s="272">
        <v>0.5</v>
      </c>
      <c r="H15" s="272">
        <v>1.5</v>
      </c>
      <c r="I15" s="272">
        <v>0.5</v>
      </c>
      <c r="J15" s="272">
        <v>1.5</v>
      </c>
      <c r="K15" s="272" t="s">
        <v>725</v>
      </c>
      <c r="L15" s="272">
        <v>1</v>
      </c>
      <c r="P15" s="254">
        <f>P14+P13</f>
        <v>882.05779860610426</v>
      </c>
      <c r="Q15" s="254" t="s">
        <v>716</v>
      </c>
    </row>
    <row r="16" spans="1:17">
      <c r="A16" s="266" t="s">
        <v>726</v>
      </c>
      <c r="B16" s="274">
        <v>1.25</v>
      </c>
      <c r="C16" s="274">
        <v>1.25</v>
      </c>
      <c r="D16" s="267">
        <v>1</v>
      </c>
      <c r="E16" s="267">
        <v>0.75</v>
      </c>
      <c r="F16" s="267">
        <v>0.75</v>
      </c>
      <c r="G16" s="267">
        <v>0.75</v>
      </c>
      <c r="H16" s="274">
        <v>1.25</v>
      </c>
      <c r="I16" s="267">
        <v>0.7</v>
      </c>
      <c r="J16" s="267">
        <v>1</v>
      </c>
      <c r="K16" s="267" t="s">
        <v>727</v>
      </c>
      <c r="L16" s="267"/>
    </row>
    <row r="17" spans="1:17">
      <c r="A17" s="282" t="s">
        <v>728</v>
      </c>
      <c r="B17" s="274">
        <v>50</v>
      </c>
      <c r="C17" s="274">
        <v>50</v>
      </c>
      <c r="D17" s="274">
        <v>50</v>
      </c>
      <c r="E17" s="274">
        <v>50</v>
      </c>
      <c r="F17" s="274">
        <v>50</v>
      </c>
      <c r="G17" s="267">
        <v>20</v>
      </c>
      <c r="H17" s="267">
        <v>70</v>
      </c>
      <c r="I17" s="267">
        <v>20</v>
      </c>
      <c r="J17" s="267">
        <v>70</v>
      </c>
      <c r="K17" s="267" t="s">
        <v>729</v>
      </c>
      <c r="L17" s="267"/>
      <c r="P17" s="254">
        <f>P15/7.45</f>
        <v>118.39701994712809</v>
      </c>
      <c r="Q17" s="254" t="s">
        <v>730</v>
      </c>
    </row>
    <row r="18" spans="1:17">
      <c r="A18" s="278" t="s">
        <v>731</v>
      </c>
      <c r="B18" s="274"/>
      <c r="C18" s="274"/>
      <c r="D18" s="267"/>
      <c r="E18" s="267"/>
      <c r="F18" s="267"/>
      <c r="G18" s="267"/>
      <c r="H18" s="267"/>
      <c r="I18" s="267"/>
      <c r="J18" s="267"/>
      <c r="K18" s="267"/>
      <c r="L18" s="267"/>
    </row>
    <row r="19" spans="1:17">
      <c r="A19" s="266" t="s">
        <v>732</v>
      </c>
      <c r="B19" s="267">
        <v>5</v>
      </c>
      <c r="C19" s="267">
        <v>5</v>
      </c>
      <c r="D19" s="267">
        <v>3</v>
      </c>
      <c r="E19" s="267">
        <v>3</v>
      </c>
      <c r="F19" s="267">
        <v>3</v>
      </c>
      <c r="G19" s="267">
        <v>3</v>
      </c>
      <c r="H19" s="267">
        <v>3</v>
      </c>
      <c r="I19" s="267">
        <v>3</v>
      </c>
      <c r="J19" s="267">
        <v>3</v>
      </c>
      <c r="K19" s="267" t="s">
        <v>733</v>
      </c>
      <c r="L19" s="267"/>
    </row>
    <row r="20" spans="1:17">
      <c r="A20" s="266" t="s">
        <v>734</v>
      </c>
      <c r="B20" s="274">
        <v>3</v>
      </c>
      <c r="C20" s="274">
        <v>3</v>
      </c>
      <c r="D20" s="274">
        <v>3</v>
      </c>
      <c r="E20" s="274">
        <v>3</v>
      </c>
      <c r="F20" s="274">
        <v>3</v>
      </c>
      <c r="G20" s="274">
        <v>3</v>
      </c>
      <c r="H20" s="274">
        <v>3</v>
      </c>
      <c r="I20" s="267">
        <v>3</v>
      </c>
      <c r="J20" s="267">
        <v>3</v>
      </c>
      <c r="K20" s="267" t="s">
        <v>733</v>
      </c>
      <c r="L20" s="267"/>
    </row>
    <row r="21" spans="1:17">
      <c r="A21" s="266" t="s">
        <v>735</v>
      </c>
      <c r="B21" s="274">
        <v>20</v>
      </c>
      <c r="C21" s="274">
        <v>20</v>
      </c>
      <c r="D21" s="274">
        <v>20</v>
      </c>
      <c r="E21" s="274">
        <v>20</v>
      </c>
      <c r="F21" s="267">
        <v>20</v>
      </c>
      <c r="G21" s="267"/>
      <c r="H21" s="267"/>
      <c r="I21" s="267"/>
      <c r="J21" s="267"/>
      <c r="K21" s="267" t="s">
        <v>736</v>
      </c>
      <c r="L21" s="267">
        <v>4</v>
      </c>
    </row>
    <row r="22" spans="1:17">
      <c r="A22" s="266" t="s">
        <v>737</v>
      </c>
      <c r="B22" s="267">
        <v>1</v>
      </c>
      <c r="C22" s="267">
        <v>1</v>
      </c>
      <c r="D22" s="267">
        <v>2</v>
      </c>
      <c r="E22" s="267">
        <v>2.5</v>
      </c>
      <c r="F22" s="267">
        <v>2.5</v>
      </c>
      <c r="G22" s="267">
        <v>0.75</v>
      </c>
      <c r="H22" s="267">
        <v>1.5</v>
      </c>
      <c r="I22" s="267">
        <v>1.5</v>
      </c>
      <c r="J22" s="267">
        <v>3</v>
      </c>
      <c r="K22" s="267" t="s">
        <v>738</v>
      </c>
      <c r="L22" s="267"/>
    </row>
    <row r="23" spans="1:17">
      <c r="A23" s="283" t="s">
        <v>739</v>
      </c>
      <c r="B23" s="267"/>
      <c r="C23" s="267"/>
      <c r="D23" s="267"/>
      <c r="E23" s="267"/>
      <c r="F23" s="267"/>
      <c r="G23" s="267"/>
      <c r="H23" s="267"/>
      <c r="I23" s="267"/>
      <c r="J23" s="267"/>
      <c r="K23" s="267"/>
      <c r="L23" s="267"/>
    </row>
    <row r="24" spans="1:17">
      <c r="A24" s="266" t="s">
        <v>740</v>
      </c>
      <c r="B24" s="272">
        <v>7</v>
      </c>
      <c r="C24" s="272">
        <v>7</v>
      </c>
      <c r="D24" s="272">
        <v>6</v>
      </c>
      <c r="E24" s="272">
        <v>5</v>
      </c>
      <c r="F24" s="284">
        <v>4</v>
      </c>
      <c r="G24" s="272">
        <v>6</v>
      </c>
      <c r="H24" s="272">
        <v>10</v>
      </c>
      <c r="I24" s="272">
        <v>3</v>
      </c>
      <c r="J24" s="284">
        <v>7</v>
      </c>
      <c r="K24" s="267" t="s">
        <v>741</v>
      </c>
      <c r="L24" s="272">
        <v>2</v>
      </c>
    </row>
    <row r="25" spans="1:17">
      <c r="A25" s="282" t="s">
        <v>742</v>
      </c>
      <c r="B25" s="267"/>
      <c r="C25" s="267"/>
      <c r="D25" s="267"/>
      <c r="E25" s="267"/>
      <c r="F25" s="282"/>
      <c r="G25" s="267"/>
      <c r="H25" s="267"/>
      <c r="I25" s="267"/>
      <c r="J25" s="282"/>
      <c r="K25" s="285"/>
      <c r="L25" s="267"/>
    </row>
    <row r="26" spans="1:17">
      <c r="A26" s="266" t="s">
        <v>743</v>
      </c>
      <c r="B26" s="267"/>
      <c r="C26" s="267"/>
      <c r="D26" s="267"/>
      <c r="E26" s="267"/>
      <c r="F26" s="266"/>
      <c r="G26" s="267"/>
      <c r="H26" s="267"/>
      <c r="I26" s="267"/>
      <c r="J26" s="266"/>
      <c r="K26" s="285"/>
      <c r="L26" s="267"/>
      <c r="O26" s="286"/>
    </row>
    <row r="27" spans="1:17">
      <c r="A27" s="287" t="s">
        <v>744</v>
      </c>
      <c r="B27" s="288">
        <f>B24*0.037+(B24)/4*0.05</f>
        <v>0.34650000000000003</v>
      </c>
      <c r="C27" s="288">
        <f t="shared" ref="C27:J27" si="0">C24*0.037+(C24)/4*0.05</f>
        <v>0.34650000000000003</v>
      </c>
      <c r="D27" s="288">
        <f t="shared" si="0"/>
        <v>0.29699999999999999</v>
      </c>
      <c r="E27" s="288">
        <f t="shared" si="0"/>
        <v>0.2475</v>
      </c>
      <c r="F27" s="288">
        <f t="shared" si="0"/>
        <v>0.19800000000000001</v>
      </c>
      <c r="G27" s="288">
        <f t="shared" si="0"/>
        <v>0.29699999999999999</v>
      </c>
      <c r="H27" s="288">
        <f t="shared" si="0"/>
        <v>0.495</v>
      </c>
      <c r="I27" s="288">
        <f t="shared" si="0"/>
        <v>0.14849999999999999</v>
      </c>
      <c r="J27" s="288">
        <f t="shared" si="0"/>
        <v>0.34650000000000003</v>
      </c>
      <c r="K27" s="267" t="s">
        <v>745</v>
      </c>
      <c r="L27" s="272">
        <v>2</v>
      </c>
      <c r="O27" s="289"/>
    </row>
    <row r="28" spans="1:17">
      <c r="A28" s="282" t="s">
        <v>746</v>
      </c>
      <c r="B28" s="267"/>
      <c r="C28" s="267"/>
      <c r="D28" s="267"/>
      <c r="E28" s="267"/>
      <c r="F28" s="282"/>
      <c r="G28" s="267"/>
      <c r="H28" s="267"/>
      <c r="I28" s="267"/>
      <c r="J28" s="282"/>
      <c r="K28" s="267" t="s">
        <v>747</v>
      </c>
      <c r="L28" s="267"/>
    </row>
    <row r="29" spans="1:17">
      <c r="A29" s="281" t="s">
        <v>748</v>
      </c>
      <c r="B29" s="267"/>
      <c r="C29" s="267"/>
      <c r="D29" s="267"/>
      <c r="E29" s="267"/>
      <c r="F29" s="282"/>
      <c r="G29" s="267"/>
      <c r="H29" s="267"/>
      <c r="I29" s="267"/>
      <c r="J29" s="282"/>
      <c r="K29" s="267"/>
      <c r="L29" s="267"/>
    </row>
    <row r="30" spans="1:17">
      <c r="A30" s="265" t="s">
        <v>749</v>
      </c>
      <c r="B30" s="279"/>
      <c r="C30" s="279"/>
      <c r="D30" s="279"/>
      <c r="E30" s="279"/>
      <c r="F30" s="279"/>
      <c r="G30" s="279"/>
      <c r="H30" s="279"/>
      <c r="I30" s="279"/>
      <c r="J30" s="279"/>
      <c r="K30" s="279"/>
      <c r="L30" s="280"/>
      <c r="O30" s="286"/>
    </row>
    <row r="31" spans="1:17">
      <c r="A31" s="282" t="s">
        <v>750</v>
      </c>
      <c r="B31" s="267">
        <v>0.1</v>
      </c>
      <c r="C31" s="267">
        <v>0.1</v>
      </c>
      <c r="D31" s="267">
        <v>0.1</v>
      </c>
      <c r="E31" s="267">
        <v>0.05</v>
      </c>
      <c r="F31" s="290">
        <v>0.02</v>
      </c>
      <c r="G31" s="267">
        <v>0.02</v>
      </c>
      <c r="H31" s="267">
        <v>0.1</v>
      </c>
      <c r="I31" s="267">
        <v>0.05</v>
      </c>
      <c r="J31" s="290">
        <v>2E-3</v>
      </c>
      <c r="K31" s="267"/>
      <c r="L31" s="267">
        <v>1</v>
      </c>
    </row>
    <row r="32" spans="1:17" ht="20.399999999999999">
      <c r="A32" s="282" t="s">
        <v>751</v>
      </c>
      <c r="B32" s="267">
        <v>0.15</v>
      </c>
      <c r="C32" s="267">
        <v>0.15</v>
      </c>
      <c r="D32" s="267">
        <v>0.15</v>
      </c>
      <c r="E32" s="267">
        <v>0.15</v>
      </c>
      <c r="F32" s="267">
        <v>0.15</v>
      </c>
      <c r="G32" s="267"/>
      <c r="H32" s="267"/>
      <c r="I32" s="267"/>
      <c r="J32" s="282"/>
      <c r="K32" s="267" t="s">
        <v>752</v>
      </c>
      <c r="L32" s="267"/>
    </row>
    <row r="33" spans="1:12" ht="20.399999999999999">
      <c r="A33" s="266" t="s">
        <v>753</v>
      </c>
      <c r="B33" s="267">
        <v>0.2</v>
      </c>
      <c r="C33" s="267">
        <v>0.2</v>
      </c>
      <c r="D33" s="267">
        <v>0.2</v>
      </c>
      <c r="E33" s="267">
        <v>0.2</v>
      </c>
      <c r="F33" s="267">
        <v>0.2</v>
      </c>
      <c r="G33" s="267"/>
      <c r="H33" s="267"/>
      <c r="I33" s="267"/>
      <c r="J33" s="266"/>
      <c r="K33" s="267"/>
      <c r="L33" s="267"/>
    </row>
    <row r="34" spans="1:12">
      <c r="A34" s="291"/>
    </row>
    <row r="35" spans="1:12">
      <c r="A35" s="292" t="s">
        <v>754</v>
      </c>
    </row>
    <row r="36" spans="1:12">
      <c r="A36" s="254">
        <v>1</v>
      </c>
      <c r="B36" s="254" t="s">
        <v>755</v>
      </c>
    </row>
    <row r="37" spans="1:12">
      <c r="A37" s="254">
        <v>2</v>
      </c>
      <c r="B37" s="254" t="s">
        <v>756</v>
      </c>
    </row>
    <row r="38" spans="1:12">
      <c r="A38" s="254">
        <v>3</v>
      </c>
      <c r="B38" s="254" t="s">
        <v>757</v>
      </c>
    </row>
    <row r="39" spans="1:12">
      <c r="A39" s="254">
        <v>4</v>
      </c>
      <c r="B39" s="254" t="s">
        <v>758</v>
      </c>
    </row>
    <row r="41" spans="1:12">
      <c r="A41" s="293" t="s">
        <v>759</v>
      </c>
    </row>
    <row r="42" spans="1:12">
      <c r="A42" s="294" t="s">
        <v>709</v>
      </c>
      <c r="B42" s="254" t="s">
        <v>760</v>
      </c>
    </row>
    <row r="43" spans="1:12">
      <c r="A43" s="294" t="s">
        <v>712</v>
      </c>
      <c r="B43" s="254" t="s">
        <v>761</v>
      </c>
    </row>
    <row r="44" spans="1:12">
      <c r="A44" s="294" t="s">
        <v>714</v>
      </c>
      <c r="B44" s="254" t="s">
        <v>762</v>
      </c>
    </row>
    <row r="45" spans="1:12">
      <c r="A45" s="294" t="s">
        <v>718</v>
      </c>
      <c r="B45" s="254" t="s">
        <v>763</v>
      </c>
    </row>
    <row r="46" spans="1:12">
      <c r="A46" s="294" t="s">
        <v>722</v>
      </c>
      <c r="B46" s="254" t="s">
        <v>764</v>
      </c>
    </row>
    <row r="47" spans="1:12">
      <c r="A47" s="294" t="s">
        <v>725</v>
      </c>
      <c r="B47" s="254" t="s">
        <v>765</v>
      </c>
    </row>
    <row r="48" spans="1:12">
      <c r="A48" s="294" t="s">
        <v>727</v>
      </c>
      <c r="B48" s="254" t="s">
        <v>766</v>
      </c>
    </row>
    <row r="49" spans="1:2">
      <c r="A49" s="294" t="s">
        <v>729</v>
      </c>
      <c r="B49" s="254" t="s">
        <v>767</v>
      </c>
    </row>
    <row r="50" spans="1:2">
      <c r="A50" s="294" t="s">
        <v>733</v>
      </c>
      <c r="B50" s="254" t="s">
        <v>768</v>
      </c>
    </row>
    <row r="51" spans="1:2">
      <c r="A51" s="294" t="s">
        <v>736</v>
      </c>
      <c r="B51" s="254" t="s">
        <v>769</v>
      </c>
    </row>
    <row r="52" spans="1:2">
      <c r="A52" s="294" t="s">
        <v>738</v>
      </c>
      <c r="B52" s="254" t="s">
        <v>770</v>
      </c>
    </row>
    <row r="53" spans="1:2">
      <c r="A53" s="294" t="s">
        <v>741</v>
      </c>
      <c r="B53" s="254" t="s">
        <v>771</v>
      </c>
    </row>
    <row r="54" spans="1:2">
      <c r="A54" s="294" t="s">
        <v>745</v>
      </c>
      <c r="B54" s="254" t="s">
        <v>772</v>
      </c>
    </row>
    <row r="55" spans="1:2">
      <c r="A55" s="294" t="s">
        <v>747</v>
      </c>
      <c r="B55" s="254" t="s">
        <v>773</v>
      </c>
    </row>
    <row r="56" spans="1:2">
      <c r="A56" s="294" t="s">
        <v>752</v>
      </c>
      <c r="B56" s="254" t="s">
        <v>774</v>
      </c>
    </row>
  </sheetData>
  <mergeCells count="3">
    <mergeCell ref="B2:L2"/>
    <mergeCell ref="G3:H3"/>
    <mergeCell ref="I3:J3"/>
  </mergeCells>
  <hyperlinks>
    <hyperlink ref="B2" location="INDEX" display="Direct Air Capture Plant " xr:uid="{8CD6FC23-7F73-45E8-81E6-6D813CA44983}"/>
  </hyperlinks>
  <pageMargins left="0.25" right="0.25"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8CC7-779B-446B-BAF2-6B03A58DA4C5}">
  <sheetPr>
    <tabColor theme="5" tint="0.59999389629810485"/>
  </sheetPr>
  <dimension ref="A1:L63"/>
  <sheetViews>
    <sheetView zoomScale="89" zoomScaleNormal="120" workbookViewId="0">
      <selection activeCell="B2" sqref="B2:L2"/>
    </sheetView>
  </sheetViews>
  <sheetFormatPr defaultColWidth="8.6640625" defaultRowHeight="14.4"/>
  <cols>
    <col min="1" max="1" width="40.6640625" style="254" customWidth="1"/>
    <col min="2" max="10" width="8.5546875" style="254" customWidth="1"/>
    <col min="11" max="12" width="6.33203125" style="254" customWidth="1"/>
    <col min="13" max="13" width="8.6640625" style="254"/>
    <col min="14" max="14" width="10" style="254" bestFit="1" customWidth="1"/>
    <col min="15" max="16384" width="8.6640625" style="254"/>
  </cols>
  <sheetData>
    <row r="1" spans="1:12" s="134" customFormat="1"/>
    <row r="2" spans="1:12" ht="15.75" customHeight="1">
      <c r="A2" s="253" t="s">
        <v>700</v>
      </c>
      <c r="B2" s="387" t="s">
        <v>825</v>
      </c>
      <c r="C2" s="389"/>
      <c r="D2" s="389"/>
      <c r="E2" s="389"/>
      <c r="F2" s="389"/>
      <c r="G2" s="389"/>
      <c r="H2" s="389"/>
      <c r="I2" s="389"/>
      <c r="J2" s="389"/>
      <c r="K2" s="389"/>
      <c r="L2" s="390"/>
    </row>
    <row r="3" spans="1:12" ht="15.75" customHeight="1">
      <c r="A3" s="255"/>
      <c r="B3" s="256">
        <v>2020</v>
      </c>
      <c r="C3" s="256">
        <v>2025</v>
      </c>
      <c r="D3" s="257">
        <v>2030</v>
      </c>
      <c r="E3" s="257">
        <v>2040</v>
      </c>
      <c r="F3" s="258">
        <v>2050</v>
      </c>
      <c r="G3" s="393" t="s">
        <v>702</v>
      </c>
      <c r="H3" s="394"/>
      <c r="I3" s="393" t="s">
        <v>703</v>
      </c>
      <c r="J3" s="394"/>
      <c r="K3" s="257" t="s">
        <v>537</v>
      </c>
      <c r="L3" s="259" t="s">
        <v>704</v>
      </c>
    </row>
    <row r="4" spans="1:12">
      <c r="A4" s="255"/>
      <c r="B4" s="260"/>
      <c r="C4" s="261"/>
      <c r="D4" s="262"/>
      <c r="E4" s="262"/>
      <c r="F4" s="262"/>
      <c r="G4" s="263" t="s">
        <v>705</v>
      </c>
      <c r="H4" s="263" t="s">
        <v>706</v>
      </c>
      <c r="I4" s="263" t="s">
        <v>705</v>
      </c>
      <c r="J4" s="263" t="s">
        <v>706</v>
      </c>
      <c r="K4" s="262"/>
      <c r="L4" s="264"/>
    </row>
    <row r="5" spans="1:12">
      <c r="A5" s="265" t="s">
        <v>707</v>
      </c>
      <c r="B5" s="262"/>
      <c r="C5" s="262"/>
      <c r="D5" s="262"/>
      <c r="E5" s="262"/>
      <c r="F5" s="262"/>
      <c r="G5" s="262"/>
      <c r="H5" s="262"/>
      <c r="I5" s="262"/>
      <c r="J5" s="262"/>
      <c r="K5" s="262"/>
      <c r="L5" s="264"/>
    </row>
    <row r="6" spans="1:12">
      <c r="A6" s="266" t="s">
        <v>708</v>
      </c>
      <c r="B6" s="267">
        <v>32</v>
      </c>
      <c r="C6" s="267">
        <v>32</v>
      </c>
      <c r="D6" s="267">
        <v>32</v>
      </c>
      <c r="E6" s="267">
        <v>34</v>
      </c>
      <c r="F6" s="267">
        <v>34</v>
      </c>
      <c r="G6" s="267">
        <v>30</v>
      </c>
      <c r="H6" s="267">
        <v>34</v>
      </c>
      <c r="I6" s="267">
        <v>33</v>
      </c>
      <c r="J6" s="267">
        <v>35</v>
      </c>
      <c r="K6" s="267" t="s">
        <v>709</v>
      </c>
      <c r="L6" s="267"/>
    </row>
    <row r="7" spans="1:12">
      <c r="A7" s="278" t="s">
        <v>710</v>
      </c>
      <c r="B7" s="324"/>
      <c r="C7" s="324"/>
      <c r="D7" s="324"/>
      <c r="E7" s="324"/>
      <c r="F7" s="324"/>
      <c r="G7" s="324"/>
      <c r="H7" s="324"/>
      <c r="I7" s="324"/>
      <c r="J7" s="324"/>
      <c r="K7" s="324"/>
      <c r="L7" s="324"/>
    </row>
    <row r="8" spans="1:12">
      <c r="A8" s="266" t="s">
        <v>824</v>
      </c>
      <c r="B8" s="267">
        <v>5.0999999999999996</v>
      </c>
      <c r="C8" s="267">
        <v>5.0999999999999996</v>
      </c>
      <c r="D8" s="267">
        <v>5.0999999999999996</v>
      </c>
      <c r="E8" s="267">
        <v>4.9000000000000004</v>
      </c>
      <c r="F8" s="267">
        <v>4.9000000000000004</v>
      </c>
      <c r="G8" s="267">
        <v>4.8</v>
      </c>
      <c r="H8" s="267">
        <v>6</v>
      </c>
      <c r="I8" s="267">
        <v>4.7</v>
      </c>
      <c r="J8" s="267">
        <v>6</v>
      </c>
      <c r="K8" s="267"/>
      <c r="L8" s="267"/>
    </row>
    <row r="9" spans="1:12">
      <c r="A9" s="282" t="s">
        <v>823</v>
      </c>
      <c r="B9" s="290">
        <v>15</v>
      </c>
      <c r="C9" s="290">
        <v>15</v>
      </c>
      <c r="D9" s="290">
        <v>15</v>
      </c>
      <c r="E9" s="290">
        <v>15</v>
      </c>
      <c r="F9" s="290">
        <v>15</v>
      </c>
      <c r="G9" s="290">
        <v>12</v>
      </c>
      <c r="H9" s="290">
        <v>15</v>
      </c>
      <c r="I9" s="290">
        <v>12</v>
      </c>
      <c r="J9" s="290">
        <v>15</v>
      </c>
      <c r="K9" s="290"/>
      <c r="L9" s="290"/>
    </row>
    <row r="10" spans="1:12">
      <c r="A10" s="282" t="s">
        <v>822</v>
      </c>
      <c r="B10" s="267">
        <v>35</v>
      </c>
      <c r="C10" s="267">
        <v>35</v>
      </c>
      <c r="D10" s="267">
        <v>35</v>
      </c>
      <c r="E10" s="267">
        <v>35</v>
      </c>
      <c r="F10" s="267">
        <v>35</v>
      </c>
      <c r="G10" s="267">
        <v>30</v>
      </c>
      <c r="H10" s="267">
        <v>40</v>
      </c>
      <c r="I10" s="267">
        <v>30</v>
      </c>
      <c r="J10" s="267">
        <v>40</v>
      </c>
      <c r="K10" s="267" t="s">
        <v>712</v>
      </c>
      <c r="L10" s="267"/>
    </row>
    <row r="11" spans="1:12">
      <c r="A11" s="273" t="s">
        <v>713</v>
      </c>
      <c r="B11" s="267">
        <v>0.83299999999999996</v>
      </c>
      <c r="C11" s="267">
        <v>0.83299999999999996</v>
      </c>
      <c r="D11" s="267">
        <v>0.72</v>
      </c>
      <c r="E11" s="267">
        <v>0.66</v>
      </c>
      <c r="F11" s="267">
        <v>0.66</v>
      </c>
      <c r="G11" s="272">
        <v>0.66</v>
      </c>
      <c r="H11" s="272">
        <v>1</v>
      </c>
      <c r="I11" s="272">
        <v>0.55000000000000004</v>
      </c>
      <c r="J11" s="272">
        <v>0.72</v>
      </c>
      <c r="K11" s="272" t="s">
        <v>714</v>
      </c>
      <c r="L11" s="272"/>
    </row>
    <row r="12" spans="1:12">
      <c r="A12" s="276" t="s">
        <v>717</v>
      </c>
      <c r="B12" s="290">
        <v>0.03</v>
      </c>
      <c r="C12" s="290">
        <v>0.03</v>
      </c>
      <c r="D12" s="290">
        <v>2.5000000000000001E-2</v>
      </c>
      <c r="E12" s="290">
        <v>2.3E-2</v>
      </c>
      <c r="F12" s="290">
        <v>0.02</v>
      </c>
      <c r="G12" s="290">
        <v>2.5000000000000001E-2</v>
      </c>
      <c r="H12" s="290">
        <v>3.5000000000000003E-2</v>
      </c>
      <c r="I12" s="290">
        <v>1.7000000000000001E-2</v>
      </c>
      <c r="J12" s="290">
        <v>2.5000000000000001E-2</v>
      </c>
      <c r="K12" s="290" t="s">
        <v>718</v>
      </c>
      <c r="L12" s="290"/>
    </row>
    <row r="13" spans="1:12">
      <c r="A13" s="273" t="s">
        <v>821</v>
      </c>
      <c r="B13" s="272">
        <v>0.3</v>
      </c>
      <c r="C13" s="272">
        <v>0.3</v>
      </c>
      <c r="D13" s="272">
        <v>0.2</v>
      </c>
      <c r="E13" s="272">
        <v>0.15</v>
      </c>
      <c r="F13" s="272">
        <v>0.1</v>
      </c>
      <c r="G13" s="272">
        <v>0.15</v>
      </c>
      <c r="H13" s="272">
        <v>1.5</v>
      </c>
      <c r="I13" s="272">
        <v>0.05</v>
      </c>
      <c r="J13" s="272">
        <v>0.3</v>
      </c>
      <c r="K13" s="272"/>
      <c r="L13" s="272"/>
    </row>
    <row r="14" spans="1:12">
      <c r="A14" s="266" t="s">
        <v>719</v>
      </c>
      <c r="B14" s="325"/>
      <c r="C14" s="267"/>
      <c r="D14" s="267"/>
      <c r="E14" s="267"/>
      <c r="F14" s="267"/>
      <c r="G14" s="267"/>
      <c r="H14" s="267"/>
      <c r="I14" s="267"/>
      <c r="J14" s="267"/>
      <c r="K14" s="267"/>
      <c r="L14" s="267"/>
    </row>
    <row r="15" spans="1:12">
      <c r="A15" s="278" t="s">
        <v>720</v>
      </c>
      <c r="B15" s="324"/>
      <c r="C15" s="324"/>
      <c r="D15" s="324"/>
      <c r="E15" s="324"/>
      <c r="F15" s="324"/>
      <c r="G15" s="324"/>
      <c r="H15" s="324"/>
      <c r="I15" s="324"/>
      <c r="J15" s="324"/>
      <c r="K15" s="324"/>
      <c r="L15" s="324"/>
    </row>
    <row r="16" spans="1:12">
      <c r="A16" s="281" t="s">
        <v>721</v>
      </c>
      <c r="B16" s="267">
        <v>97</v>
      </c>
      <c r="C16" s="267">
        <v>97</v>
      </c>
      <c r="D16" s="267">
        <v>98</v>
      </c>
      <c r="E16" s="267">
        <v>99</v>
      </c>
      <c r="F16" s="267">
        <v>99</v>
      </c>
      <c r="G16" s="267">
        <v>96</v>
      </c>
      <c r="H16" s="267">
        <v>98</v>
      </c>
      <c r="I16" s="267">
        <v>98</v>
      </c>
      <c r="J16" s="267">
        <v>99</v>
      </c>
      <c r="K16" s="267" t="s">
        <v>722</v>
      </c>
      <c r="L16" s="267"/>
    </row>
    <row r="17" spans="1:12">
      <c r="A17" s="281" t="s">
        <v>723</v>
      </c>
      <c r="B17" s="267">
        <v>160</v>
      </c>
      <c r="C17" s="267">
        <v>160</v>
      </c>
      <c r="D17" s="267">
        <v>300</v>
      </c>
      <c r="E17" s="267">
        <v>400</v>
      </c>
      <c r="F17" s="267">
        <v>400</v>
      </c>
      <c r="G17" s="267">
        <v>120</v>
      </c>
      <c r="H17" s="267">
        <v>300</v>
      </c>
      <c r="I17" s="267">
        <v>300</v>
      </c>
      <c r="J17" s="267">
        <v>600</v>
      </c>
      <c r="K17" s="267" t="s">
        <v>725</v>
      </c>
      <c r="L17" s="267"/>
    </row>
    <row r="18" spans="1:12">
      <c r="A18" s="266" t="s">
        <v>820</v>
      </c>
      <c r="B18" s="267">
        <v>90</v>
      </c>
      <c r="C18" s="267">
        <v>90</v>
      </c>
      <c r="D18" s="267">
        <v>90</v>
      </c>
      <c r="E18" s="267">
        <v>95</v>
      </c>
      <c r="F18" s="267">
        <v>95</v>
      </c>
      <c r="G18" s="267">
        <v>85</v>
      </c>
      <c r="H18" s="267">
        <v>95</v>
      </c>
      <c r="I18" s="267">
        <v>92</v>
      </c>
      <c r="J18" s="267">
        <v>99</v>
      </c>
      <c r="K18" s="267" t="s">
        <v>727</v>
      </c>
      <c r="L18" s="267"/>
    </row>
    <row r="19" spans="1:12">
      <c r="A19" s="266" t="s">
        <v>726</v>
      </c>
      <c r="B19" s="267">
        <v>0.83299999999999996</v>
      </c>
      <c r="C19" s="267">
        <v>0.83299999999999996</v>
      </c>
      <c r="D19" s="267">
        <v>0.72</v>
      </c>
      <c r="E19" s="267">
        <v>0.66</v>
      </c>
      <c r="F19" s="267">
        <v>0.66</v>
      </c>
      <c r="G19" s="272">
        <v>0.66</v>
      </c>
      <c r="H19" s="272">
        <v>1</v>
      </c>
      <c r="I19" s="272">
        <v>0.55000000000000004</v>
      </c>
      <c r="J19" s="272">
        <v>0.72</v>
      </c>
      <c r="K19" s="267"/>
      <c r="L19" s="267"/>
    </row>
    <row r="20" spans="1:12">
      <c r="A20" s="282" t="s">
        <v>728</v>
      </c>
      <c r="B20" s="267">
        <v>60</v>
      </c>
      <c r="C20" s="267">
        <v>60</v>
      </c>
      <c r="D20" s="267">
        <v>60</v>
      </c>
      <c r="E20" s="267">
        <v>70</v>
      </c>
      <c r="F20" s="267">
        <v>70</v>
      </c>
      <c r="G20" s="267">
        <v>50</v>
      </c>
      <c r="H20" s="267">
        <v>80</v>
      </c>
      <c r="I20" s="267">
        <v>50</v>
      </c>
      <c r="J20" s="267">
        <v>120</v>
      </c>
      <c r="K20" s="267" t="s">
        <v>729</v>
      </c>
      <c r="L20" s="267"/>
    </row>
    <row r="21" spans="1:12">
      <c r="A21" s="287" t="s">
        <v>819</v>
      </c>
      <c r="B21" s="272"/>
      <c r="C21" s="272"/>
      <c r="D21" s="272"/>
      <c r="E21" s="272"/>
      <c r="F21" s="272"/>
      <c r="G21" s="272"/>
      <c r="H21" s="272"/>
      <c r="I21" s="272"/>
      <c r="J21" s="272"/>
      <c r="K21" s="272"/>
      <c r="L21" s="272"/>
    </row>
    <row r="22" spans="1:12">
      <c r="A22" s="278" t="s">
        <v>731</v>
      </c>
      <c r="B22" s="272"/>
      <c r="C22" s="272"/>
      <c r="D22" s="272"/>
      <c r="E22" s="272"/>
      <c r="F22" s="272"/>
      <c r="G22" s="272"/>
      <c r="H22" s="272"/>
      <c r="I22" s="272"/>
      <c r="J22" s="272"/>
      <c r="K22" s="272"/>
      <c r="L22" s="272"/>
    </row>
    <row r="23" spans="1:12">
      <c r="A23" s="266" t="s">
        <v>732</v>
      </c>
      <c r="B23" s="267">
        <v>5</v>
      </c>
      <c r="C23" s="267">
        <v>5</v>
      </c>
      <c r="D23" s="267">
        <v>3</v>
      </c>
      <c r="E23" s="267">
        <v>3</v>
      </c>
      <c r="F23" s="267">
        <v>3</v>
      </c>
      <c r="G23" s="267">
        <v>3</v>
      </c>
      <c r="H23" s="267">
        <v>3</v>
      </c>
      <c r="I23" s="267">
        <v>3</v>
      </c>
      <c r="J23" s="267">
        <v>3</v>
      </c>
      <c r="K23" s="267"/>
      <c r="L23" s="267"/>
    </row>
    <row r="24" spans="1:12">
      <c r="A24" s="266" t="s">
        <v>734</v>
      </c>
      <c r="B24" s="267">
        <v>3</v>
      </c>
      <c r="C24" s="267">
        <v>3</v>
      </c>
      <c r="D24" s="267">
        <v>3</v>
      </c>
      <c r="E24" s="267">
        <v>2</v>
      </c>
      <c r="F24" s="267">
        <v>2</v>
      </c>
      <c r="G24" s="267">
        <v>2</v>
      </c>
      <c r="H24" s="267">
        <v>4</v>
      </c>
      <c r="I24" s="267">
        <v>2</v>
      </c>
      <c r="J24" s="267">
        <v>3</v>
      </c>
      <c r="K24" s="267"/>
      <c r="L24" s="267"/>
    </row>
    <row r="25" spans="1:12">
      <c r="A25" s="266" t="s">
        <v>735</v>
      </c>
      <c r="B25" s="267">
        <v>25</v>
      </c>
      <c r="C25" s="267">
        <v>25</v>
      </c>
      <c r="D25" s="267">
        <v>25</v>
      </c>
      <c r="E25" s="267">
        <v>25</v>
      </c>
      <c r="F25" s="267">
        <v>25</v>
      </c>
      <c r="G25" s="267">
        <v>25</v>
      </c>
      <c r="H25" s="267">
        <v>25</v>
      </c>
      <c r="I25" s="267">
        <v>25</v>
      </c>
      <c r="J25" s="267">
        <v>25</v>
      </c>
      <c r="K25" s="267"/>
      <c r="L25" s="267"/>
    </row>
    <row r="26" spans="1:12">
      <c r="A26" s="266" t="s">
        <v>737</v>
      </c>
      <c r="B26" s="267">
        <v>2.5</v>
      </c>
      <c r="C26" s="267">
        <v>2.5</v>
      </c>
      <c r="D26" s="267">
        <v>2.5</v>
      </c>
      <c r="E26" s="267">
        <v>2</v>
      </c>
      <c r="F26" s="267">
        <v>2</v>
      </c>
      <c r="G26" s="267">
        <v>2</v>
      </c>
      <c r="H26" s="267">
        <v>4</v>
      </c>
      <c r="I26" s="267">
        <v>2</v>
      </c>
      <c r="J26" s="267">
        <v>3</v>
      </c>
      <c r="K26" s="267"/>
      <c r="L26" s="267"/>
    </row>
    <row r="27" spans="1:12" ht="14.7" customHeight="1">
      <c r="A27" s="283" t="s">
        <v>739</v>
      </c>
      <c r="B27" s="283"/>
      <c r="C27" s="283"/>
      <c r="D27" s="283"/>
      <c r="E27" s="283"/>
      <c r="F27" s="283"/>
      <c r="G27" s="283"/>
      <c r="H27" s="283"/>
      <c r="I27" s="283"/>
      <c r="J27" s="283"/>
      <c r="K27" s="283"/>
      <c r="L27" s="283"/>
    </row>
    <row r="28" spans="1:12">
      <c r="A28" s="266" t="s">
        <v>740</v>
      </c>
      <c r="B28" s="323">
        <v>3.3</v>
      </c>
      <c r="C28" s="323">
        <v>3</v>
      </c>
      <c r="D28" s="323">
        <v>2.7</v>
      </c>
      <c r="E28" s="323">
        <v>2.4</v>
      </c>
      <c r="F28" s="323">
        <v>2</v>
      </c>
      <c r="G28" s="323">
        <v>2.5</v>
      </c>
      <c r="H28" s="323">
        <v>5</v>
      </c>
      <c r="I28" s="323">
        <v>1.6</v>
      </c>
      <c r="J28" s="267">
        <v>2.8</v>
      </c>
      <c r="K28" s="267" t="s">
        <v>733</v>
      </c>
      <c r="L28" s="267"/>
    </row>
    <row r="29" spans="1:12">
      <c r="A29" s="282" t="s">
        <v>818</v>
      </c>
      <c r="B29" s="267">
        <v>50</v>
      </c>
      <c r="C29" s="267">
        <v>50</v>
      </c>
      <c r="D29" s="267">
        <v>50</v>
      </c>
      <c r="E29" s="267">
        <v>50</v>
      </c>
      <c r="F29" s="267">
        <v>50</v>
      </c>
      <c r="G29" s="267"/>
      <c r="H29" s="267"/>
      <c r="I29" s="267"/>
      <c r="J29" s="282"/>
      <c r="K29" s="267" t="s">
        <v>736</v>
      </c>
      <c r="L29" s="267"/>
    </row>
    <row r="30" spans="1:12">
      <c r="A30" s="266" t="s">
        <v>817</v>
      </c>
      <c r="B30" s="267">
        <v>10</v>
      </c>
      <c r="C30" s="267">
        <v>10</v>
      </c>
      <c r="D30" s="267">
        <v>10</v>
      </c>
      <c r="E30" s="267">
        <v>10</v>
      </c>
      <c r="F30" s="267">
        <v>10</v>
      </c>
      <c r="G30" s="267"/>
      <c r="H30" s="267"/>
      <c r="I30" s="267"/>
      <c r="J30" s="282"/>
      <c r="K30" s="267" t="s">
        <v>738</v>
      </c>
      <c r="L30" s="267"/>
    </row>
    <row r="31" spans="1:12">
      <c r="A31" s="322" t="s">
        <v>816</v>
      </c>
      <c r="B31" s="267">
        <v>10</v>
      </c>
      <c r="C31" s="267">
        <v>10</v>
      </c>
      <c r="D31" s="267">
        <v>10</v>
      </c>
      <c r="E31" s="267">
        <v>10</v>
      </c>
      <c r="F31" s="267">
        <v>10</v>
      </c>
      <c r="G31" s="267"/>
      <c r="H31" s="267"/>
      <c r="I31" s="267"/>
      <c r="J31" s="282"/>
      <c r="K31" s="285"/>
      <c r="L31" s="267"/>
    </row>
    <row r="32" spans="1:12">
      <c r="A32" s="266" t="s">
        <v>815</v>
      </c>
      <c r="B32" s="267">
        <v>15</v>
      </c>
      <c r="C32" s="267">
        <v>15</v>
      </c>
      <c r="D32" s="267">
        <v>15</v>
      </c>
      <c r="E32" s="267">
        <v>15</v>
      </c>
      <c r="F32" s="267">
        <v>15</v>
      </c>
      <c r="G32" s="267"/>
      <c r="H32" s="267"/>
      <c r="I32" s="267"/>
      <c r="J32" s="282"/>
      <c r="K32" s="267" t="s">
        <v>741</v>
      </c>
      <c r="L32" s="267"/>
    </row>
    <row r="33" spans="1:12">
      <c r="A33" s="266" t="s">
        <v>814</v>
      </c>
      <c r="B33" s="267">
        <v>15</v>
      </c>
      <c r="C33" s="267">
        <v>15</v>
      </c>
      <c r="D33" s="267">
        <v>15</v>
      </c>
      <c r="E33" s="267">
        <v>15</v>
      </c>
      <c r="F33" s="267">
        <v>15</v>
      </c>
      <c r="G33" s="267"/>
      <c r="H33" s="267"/>
      <c r="I33" s="267"/>
      <c r="J33" s="266"/>
      <c r="K33" s="285"/>
      <c r="L33" s="267"/>
    </row>
    <row r="34" spans="1:12">
      <c r="A34" s="287" t="s">
        <v>813</v>
      </c>
      <c r="B34" s="272">
        <f t="shared" ref="B34:J34" si="0">B28*0.03</f>
        <v>9.8999999999999991E-2</v>
      </c>
      <c r="C34" s="272">
        <f t="shared" si="0"/>
        <v>0.09</v>
      </c>
      <c r="D34" s="272">
        <f t="shared" si="0"/>
        <v>8.1000000000000003E-2</v>
      </c>
      <c r="E34" s="272">
        <f t="shared" si="0"/>
        <v>7.1999999999999995E-2</v>
      </c>
      <c r="F34" s="272">
        <f t="shared" si="0"/>
        <v>0.06</v>
      </c>
      <c r="G34" s="272">
        <f t="shared" si="0"/>
        <v>7.4999999999999997E-2</v>
      </c>
      <c r="H34" s="272">
        <f t="shared" si="0"/>
        <v>0.15</v>
      </c>
      <c r="I34" s="272">
        <f t="shared" si="0"/>
        <v>4.8000000000000001E-2</v>
      </c>
      <c r="J34" s="272">
        <f t="shared" si="0"/>
        <v>8.3999999999999991E-2</v>
      </c>
      <c r="K34" s="267" t="s">
        <v>745</v>
      </c>
      <c r="L34" s="272"/>
    </row>
    <row r="35" spans="1:12">
      <c r="A35" s="282" t="s">
        <v>812</v>
      </c>
      <c r="B35" s="267">
        <v>2.5</v>
      </c>
      <c r="C35" s="267">
        <v>2.5</v>
      </c>
      <c r="D35" s="267">
        <v>2.5</v>
      </c>
      <c r="E35" s="267">
        <v>2.5</v>
      </c>
      <c r="F35" s="267">
        <v>2.5</v>
      </c>
      <c r="G35" s="272">
        <v>1.5</v>
      </c>
      <c r="H35" s="272">
        <v>3.5</v>
      </c>
      <c r="I35" s="272">
        <v>1.5</v>
      </c>
      <c r="J35" s="272">
        <v>3.5</v>
      </c>
      <c r="K35" s="285"/>
      <c r="L35" s="267"/>
    </row>
    <row r="36" spans="1:12">
      <c r="A36" s="281" t="s">
        <v>811</v>
      </c>
      <c r="B36" s="267">
        <v>25</v>
      </c>
      <c r="C36" s="267">
        <v>25</v>
      </c>
      <c r="D36" s="267">
        <v>25</v>
      </c>
      <c r="E36" s="267">
        <v>25</v>
      </c>
      <c r="F36" s="267">
        <v>25</v>
      </c>
      <c r="G36" s="267"/>
      <c r="H36" s="267"/>
      <c r="I36" s="267"/>
      <c r="J36" s="282"/>
      <c r="K36" s="285"/>
      <c r="L36" s="267"/>
    </row>
    <row r="37" spans="1:12">
      <c r="A37" s="265" t="s">
        <v>749</v>
      </c>
      <c r="B37" s="279"/>
      <c r="C37" s="279"/>
      <c r="D37" s="279"/>
      <c r="E37" s="279"/>
      <c r="F37" s="279"/>
      <c r="G37" s="279"/>
      <c r="H37" s="279"/>
      <c r="I37" s="279"/>
      <c r="J37" s="279"/>
      <c r="K37" s="279"/>
      <c r="L37" s="280"/>
    </row>
    <row r="38" spans="1:12" ht="20.399999999999999">
      <c r="A38" s="282" t="s">
        <v>751</v>
      </c>
      <c r="B38" s="277">
        <v>0.1</v>
      </c>
      <c r="C38" s="277">
        <v>0.1</v>
      </c>
      <c r="D38" s="267">
        <v>8.5000000000000006E-2</v>
      </c>
      <c r="E38" s="267">
        <v>7.4999999999999997E-2</v>
      </c>
      <c r="F38" s="267">
        <v>7.4999999999999997E-2</v>
      </c>
      <c r="G38" s="267">
        <v>0.09</v>
      </c>
      <c r="H38" s="267">
        <v>0.11</v>
      </c>
      <c r="I38" s="267">
        <v>7.0000000000000007E-2</v>
      </c>
      <c r="J38" s="290">
        <v>0.09</v>
      </c>
      <c r="K38" s="267" t="s">
        <v>747</v>
      </c>
      <c r="L38" s="267"/>
    </row>
    <row r="39" spans="1:12" ht="20.399999999999999">
      <c r="A39" s="282" t="s">
        <v>753</v>
      </c>
      <c r="B39" s="267">
        <v>0.16</v>
      </c>
      <c r="C39" s="267">
        <v>0.16</v>
      </c>
      <c r="D39" s="267">
        <v>0.14000000000000001</v>
      </c>
      <c r="E39" s="267">
        <v>0.13</v>
      </c>
      <c r="F39" s="267">
        <v>0.13</v>
      </c>
      <c r="G39" s="267">
        <v>0.14000000000000001</v>
      </c>
      <c r="H39" s="267">
        <v>0.18</v>
      </c>
      <c r="I39" s="267">
        <v>0.12</v>
      </c>
      <c r="J39" s="290">
        <v>0.15</v>
      </c>
      <c r="K39" s="267" t="s">
        <v>747</v>
      </c>
      <c r="L39" s="267"/>
    </row>
    <row r="40" spans="1:12">
      <c r="A40" s="282"/>
      <c r="B40" s="267"/>
      <c r="C40" s="267"/>
      <c r="D40" s="267"/>
      <c r="E40" s="267"/>
      <c r="F40" s="267"/>
      <c r="G40" s="267"/>
      <c r="H40" s="267"/>
      <c r="I40" s="267"/>
      <c r="J40" s="282"/>
      <c r="K40" s="267"/>
      <c r="L40" s="267"/>
    </row>
    <row r="41" spans="1:12">
      <c r="A41" s="266"/>
      <c r="B41" s="267"/>
      <c r="C41" s="267"/>
      <c r="D41" s="267"/>
      <c r="E41" s="267"/>
      <c r="F41" s="266"/>
      <c r="G41" s="267"/>
      <c r="H41" s="267"/>
      <c r="I41" s="267"/>
      <c r="J41" s="266"/>
      <c r="K41" s="267"/>
      <c r="L41" s="267"/>
    </row>
    <row r="42" spans="1:12">
      <c r="A42" s="291"/>
    </row>
    <row r="43" spans="1:12">
      <c r="A43" s="292" t="s">
        <v>754</v>
      </c>
      <c r="C43" s="321"/>
      <c r="D43" s="321"/>
      <c r="E43" s="321"/>
      <c r="F43" s="321"/>
      <c r="G43" s="321"/>
      <c r="H43" s="321"/>
      <c r="I43" s="321"/>
      <c r="J43" s="321"/>
      <c r="K43" s="320"/>
    </row>
    <row r="44" spans="1:12">
      <c r="A44" s="254">
        <v>1</v>
      </c>
      <c r="D44" s="319"/>
    </row>
    <row r="45" spans="1:12">
      <c r="A45" s="254">
        <v>2</v>
      </c>
      <c r="D45" s="319"/>
    </row>
    <row r="46" spans="1:12">
      <c r="A46" s="254">
        <v>3</v>
      </c>
      <c r="D46" s="319"/>
    </row>
    <row r="49" spans="1:2">
      <c r="A49" s="293" t="s">
        <v>759</v>
      </c>
    </row>
    <row r="50" spans="1:2">
      <c r="A50" s="294" t="s">
        <v>709</v>
      </c>
      <c r="B50" s="254" t="s">
        <v>810</v>
      </c>
    </row>
    <row r="51" spans="1:2">
      <c r="A51" s="294" t="s">
        <v>712</v>
      </c>
      <c r="B51" s="254" t="s">
        <v>809</v>
      </c>
    </row>
    <row r="52" spans="1:2">
      <c r="A52" s="294" t="s">
        <v>714</v>
      </c>
      <c r="B52" s="254" t="s">
        <v>808</v>
      </c>
    </row>
    <row r="53" spans="1:2">
      <c r="A53" s="294" t="s">
        <v>718</v>
      </c>
      <c r="B53" s="254" t="s">
        <v>807</v>
      </c>
    </row>
    <row r="54" spans="1:2">
      <c r="A54" s="294" t="s">
        <v>722</v>
      </c>
      <c r="B54" s="254" t="s">
        <v>806</v>
      </c>
    </row>
    <row r="55" spans="1:2">
      <c r="A55" s="294" t="s">
        <v>725</v>
      </c>
      <c r="B55" s="254" t="s">
        <v>805</v>
      </c>
    </row>
    <row r="56" spans="1:2">
      <c r="A56" s="294" t="s">
        <v>727</v>
      </c>
      <c r="B56" s="254" t="s">
        <v>804</v>
      </c>
    </row>
    <row r="57" spans="1:2">
      <c r="A57" s="294" t="s">
        <v>729</v>
      </c>
      <c r="B57" s="254" t="s">
        <v>803</v>
      </c>
    </row>
    <row r="58" spans="1:2">
      <c r="A58" s="294" t="s">
        <v>733</v>
      </c>
      <c r="B58" s="254" t="s">
        <v>802</v>
      </c>
    </row>
    <row r="59" spans="1:2">
      <c r="A59" s="294" t="s">
        <v>736</v>
      </c>
      <c r="B59" s="254" t="s">
        <v>801</v>
      </c>
    </row>
    <row r="60" spans="1:2">
      <c r="A60" s="294" t="s">
        <v>738</v>
      </c>
      <c r="B60" s="254" t="s">
        <v>800</v>
      </c>
    </row>
    <row r="61" spans="1:2">
      <c r="A61" s="294" t="s">
        <v>741</v>
      </c>
      <c r="B61" s="254" t="s">
        <v>799</v>
      </c>
    </row>
    <row r="62" spans="1:2">
      <c r="A62" s="294" t="s">
        <v>745</v>
      </c>
      <c r="B62" s="254" t="s">
        <v>798</v>
      </c>
    </row>
    <row r="63" spans="1:2">
      <c r="A63" s="294" t="s">
        <v>747</v>
      </c>
      <c r="B63" s="254" t="s">
        <v>797</v>
      </c>
    </row>
  </sheetData>
  <mergeCells count="3">
    <mergeCell ref="B2:L2"/>
    <mergeCell ref="G3:H3"/>
    <mergeCell ref="I3:J3"/>
  </mergeCells>
  <hyperlinks>
    <hyperlink ref="B2" location="INDEX" display="Post-combustion carbon capture retrofit - 100 MW(th) WtE or biomass CHP plant" xr:uid="{DD510BE5-4BD6-40BA-9AD7-F2F4B78D0937}"/>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34944-616F-4317-9F35-39125E0F87D1}">
  <sheetPr>
    <tabColor theme="5" tint="0.59999389629810485"/>
  </sheetPr>
  <dimension ref="A1:L63"/>
  <sheetViews>
    <sheetView zoomScale="110" zoomScaleNormal="110" workbookViewId="0">
      <selection activeCell="B2" sqref="B2:L2"/>
    </sheetView>
  </sheetViews>
  <sheetFormatPr defaultColWidth="8.6640625" defaultRowHeight="14.4"/>
  <cols>
    <col min="1" max="1" width="40.6640625" style="254" customWidth="1"/>
    <col min="2" max="10" width="8.5546875" style="254" customWidth="1"/>
    <col min="11" max="12" width="6.33203125" style="254" customWidth="1"/>
    <col min="13" max="13" width="8.6640625" style="254"/>
    <col min="14" max="14" width="10" style="254" bestFit="1" customWidth="1"/>
    <col min="15" max="16384" width="8.6640625" style="254"/>
  </cols>
  <sheetData>
    <row r="1" spans="1:12" s="134" customFormat="1"/>
    <row r="2" spans="1:12" ht="15.75" customHeight="1">
      <c r="A2" s="253" t="s">
        <v>700</v>
      </c>
      <c r="B2" s="387" t="s">
        <v>832</v>
      </c>
      <c r="C2" s="389"/>
      <c r="D2" s="389"/>
      <c r="E2" s="389"/>
      <c r="F2" s="389"/>
      <c r="G2" s="389"/>
      <c r="H2" s="389"/>
      <c r="I2" s="389"/>
      <c r="J2" s="389"/>
      <c r="K2" s="389"/>
      <c r="L2" s="390"/>
    </row>
    <row r="3" spans="1:12" ht="15.75" customHeight="1">
      <c r="A3" s="255"/>
      <c r="B3" s="256">
        <v>2020</v>
      </c>
      <c r="C3" s="256">
        <v>2025</v>
      </c>
      <c r="D3" s="257">
        <v>2030</v>
      </c>
      <c r="E3" s="257">
        <v>2040</v>
      </c>
      <c r="F3" s="258">
        <v>2050</v>
      </c>
      <c r="G3" s="393" t="s">
        <v>702</v>
      </c>
      <c r="H3" s="394"/>
      <c r="I3" s="393" t="s">
        <v>703</v>
      </c>
      <c r="J3" s="394"/>
      <c r="K3" s="257" t="s">
        <v>537</v>
      </c>
      <c r="L3" s="259" t="s">
        <v>704</v>
      </c>
    </row>
    <row r="4" spans="1:12">
      <c r="A4" s="255"/>
      <c r="B4" s="260"/>
      <c r="C4" s="261"/>
      <c r="D4" s="262"/>
      <c r="E4" s="262"/>
      <c r="F4" s="262"/>
      <c r="G4" s="263" t="s">
        <v>705</v>
      </c>
      <c r="H4" s="263" t="s">
        <v>706</v>
      </c>
      <c r="I4" s="263" t="s">
        <v>705</v>
      </c>
      <c r="J4" s="263" t="s">
        <v>706</v>
      </c>
      <c r="K4" s="262"/>
      <c r="L4" s="264"/>
    </row>
    <row r="5" spans="1:12">
      <c r="A5" s="265" t="s">
        <v>707</v>
      </c>
      <c r="B5" s="262"/>
      <c r="C5" s="262"/>
      <c r="D5" s="262"/>
      <c r="E5" s="262"/>
      <c r="F5" s="262"/>
      <c r="G5" s="262"/>
      <c r="H5" s="262"/>
      <c r="I5" s="262"/>
      <c r="J5" s="262"/>
      <c r="K5" s="262"/>
      <c r="L5" s="264"/>
    </row>
    <row r="6" spans="1:12">
      <c r="A6" s="266" t="s">
        <v>708</v>
      </c>
      <c r="B6" s="267">
        <v>164</v>
      </c>
      <c r="C6" s="267">
        <v>164</v>
      </c>
      <c r="D6" s="267">
        <v>164</v>
      </c>
      <c r="E6" s="267">
        <v>173</v>
      </c>
      <c r="F6" s="267">
        <v>173</v>
      </c>
      <c r="G6" s="267">
        <v>155</v>
      </c>
      <c r="H6" s="267">
        <v>173</v>
      </c>
      <c r="I6" s="267">
        <v>167</v>
      </c>
      <c r="J6" s="267">
        <v>180</v>
      </c>
      <c r="K6" s="267"/>
      <c r="L6" s="267"/>
    </row>
    <row r="7" spans="1:12">
      <c r="A7" s="278" t="s">
        <v>710</v>
      </c>
      <c r="B7" s="324"/>
      <c r="C7" s="324"/>
      <c r="D7" s="324"/>
      <c r="E7" s="324"/>
      <c r="F7" s="324"/>
      <c r="G7" s="324"/>
      <c r="H7" s="324"/>
      <c r="I7" s="324"/>
      <c r="J7" s="324"/>
      <c r="K7" s="324"/>
      <c r="L7" s="324"/>
    </row>
    <row r="8" spans="1:12">
      <c r="A8" s="266" t="s">
        <v>824</v>
      </c>
      <c r="B8" s="267">
        <v>5.0999999999999996</v>
      </c>
      <c r="C8" s="267">
        <v>5.0999999999999996</v>
      </c>
      <c r="D8" s="267">
        <v>5.0999999999999996</v>
      </c>
      <c r="E8" s="267">
        <v>4.8</v>
      </c>
      <c r="F8" s="267">
        <v>4.8</v>
      </c>
      <c r="G8" s="267">
        <v>5.4</v>
      </c>
      <c r="H8" s="267">
        <v>4.8</v>
      </c>
      <c r="I8" s="267">
        <v>5</v>
      </c>
      <c r="J8" s="267">
        <v>4.7</v>
      </c>
      <c r="K8" s="267"/>
      <c r="L8" s="267"/>
    </row>
    <row r="9" spans="1:12">
      <c r="A9" s="282" t="s">
        <v>823</v>
      </c>
      <c r="B9" s="290">
        <v>17</v>
      </c>
      <c r="C9" s="290">
        <v>17</v>
      </c>
      <c r="D9" s="290">
        <v>17</v>
      </c>
      <c r="E9" s="290">
        <v>17</v>
      </c>
      <c r="F9" s="290">
        <v>17</v>
      </c>
      <c r="G9" s="290">
        <v>15</v>
      </c>
      <c r="H9" s="290">
        <v>17</v>
      </c>
      <c r="I9" s="290">
        <v>15</v>
      </c>
      <c r="J9" s="290">
        <v>17</v>
      </c>
      <c r="K9" s="290"/>
      <c r="L9" s="290"/>
    </row>
    <row r="10" spans="1:12">
      <c r="A10" s="282" t="s">
        <v>831</v>
      </c>
      <c r="B10" s="267">
        <v>35</v>
      </c>
      <c r="C10" s="267">
        <v>35</v>
      </c>
      <c r="D10" s="267">
        <v>35</v>
      </c>
      <c r="E10" s="267">
        <v>35</v>
      </c>
      <c r="F10" s="267">
        <v>35</v>
      </c>
      <c r="G10" s="267">
        <v>30</v>
      </c>
      <c r="H10" s="267">
        <v>40</v>
      </c>
      <c r="I10" s="267">
        <v>30</v>
      </c>
      <c r="J10" s="267">
        <v>40</v>
      </c>
      <c r="K10" s="267" t="s">
        <v>712</v>
      </c>
      <c r="L10" s="267"/>
    </row>
    <row r="11" spans="1:12">
      <c r="A11" s="273" t="s">
        <v>713</v>
      </c>
      <c r="B11" s="267">
        <v>0.83299999999999996</v>
      </c>
      <c r="C11" s="267">
        <v>0.83299999999999996</v>
      </c>
      <c r="D11" s="267">
        <v>0.72</v>
      </c>
      <c r="E11" s="267">
        <v>0.66</v>
      </c>
      <c r="F11" s="267">
        <v>0.66</v>
      </c>
      <c r="G11" s="272">
        <v>0.66</v>
      </c>
      <c r="H11" s="272">
        <v>1</v>
      </c>
      <c r="I11" s="272">
        <v>0.55000000000000004</v>
      </c>
      <c r="J11" s="272">
        <v>0.72</v>
      </c>
      <c r="K11" s="272" t="s">
        <v>714</v>
      </c>
      <c r="L11" s="272"/>
    </row>
    <row r="12" spans="1:12">
      <c r="A12" s="276" t="s">
        <v>717</v>
      </c>
      <c r="B12" s="290">
        <v>0.03</v>
      </c>
      <c r="C12" s="290">
        <v>0.03</v>
      </c>
      <c r="D12" s="290">
        <v>2.5000000000000001E-2</v>
      </c>
      <c r="E12" s="290">
        <v>2.3E-2</v>
      </c>
      <c r="F12" s="290">
        <v>0.02</v>
      </c>
      <c r="G12" s="290">
        <v>2.5000000000000001E-2</v>
      </c>
      <c r="H12" s="290">
        <v>3.5000000000000003E-2</v>
      </c>
      <c r="I12" s="290">
        <v>1.7000000000000001E-2</v>
      </c>
      <c r="J12" s="290">
        <v>2.5000000000000001E-2</v>
      </c>
      <c r="K12" s="290" t="s">
        <v>718</v>
      </c>
      <c r="L12" s="290"/>
    </row>
    <row r="13" spans="1:12">
      <c r="A13" s="273" t="s">
        <v>821</v>
      </c>
      <c r="B13" s="272">
        <v>0.3</v>
      </c>
      <c r="C13" s="272">
        <v>0.3</v>
      </c>
      <c r="D13" s="272">
        <v>0.2</v>
      </c>
      <c r="E13" s="272">
        <v>0.15</v>
      </c>
      <c r="F13" s="272">
        <v>0.1</v>
      </c>
      <c r="G13" s="272">
        <v>0.15</v>
      </c>
      <c r="H13" s="272">
        <v>1.5</v>
      </c>
      <c r="I13" s="272">
        <v>0.05</v>
      </c>
      <c r="J13" s="272">
        <v>0.3</v>
      </c>
      <c r="K13" s="272"/>
      <c r="L13" s="272"/>
    </row>
    <row r="14" spans="1:12">
      <c r="A14" s="266" t="s">
        <v>719</v>
      </c>
      <c r="B14" s="325"/>
      <c r="C14" s="267"/>
      <c r="D14" s="267"/>
      <c r="E14" s="267"/>
      <c r="F14" s="267"/>
      <c r="G14" s="267"/>
      <c r="H14" s="267"/>
      <c r="I14" s="267"/>
      <c r="J14" s="267"/>
      <c r="K14" s="267"/>
      <c r="L14" s="267"/>
    </row>
    <row r="15" spans="1:12">
      <c r="A15" s="278" t="s">
        <v>720</v>
      </c>
      <c r="B15" s="324"/>
      <c r="C15" s="324"/>
      <c r="D15" s="324"/>
      <c r="E15" s="324"/>
      <c r="F15" s="324"/>
      <c r="G15" s="324"/>
      <c r="H15" s="324"/>
      <c r="I15" s="324"/>
      <c r="J15" s="324"/>
      <c r="K15" s="324"/>
      <c r="L15" s="324"/>
    </row>
    <row r="16" spans="1:12">
      <c r="A16" s="281" t="s">
        <v>830</v>
      </c>
      <c r="B16" s="267">
        <v>97</v>
      </c>
      <c r="C16" s="267">
        <v>97</v>
      </c>
      <c r="D16" s="267">
        <v>98</v>
      </c>
      <c r="E16" s="267">
        <v>99</v>
      </c>
      <c r="F16" s="267">
        <v>99</v>
      </c>
      <c r="G16" s="267">
        <v>96</v>
      </c>
      <c r="H16" s="267">
        <v>98</v>
      </c>
      <c r="I16" s="267">
        <v>98</v>
      </c>
      <c r="J16" s="267">
        <v>99</v>
      </c>
      <c r="K16" s="267" t="s">
        <v>722</v>
      </c>
      <c r="L16" s="267"/>
    </row>
    <row r="17" spans="1:12">
      <c r="A17" s="281" t="s">
        <v>829</v>
      </c>
      <c r="B17" s="267">
        <v>160</v>
      </c>
      <c r="C17" s="267">
        <v>160</v>
      </c>
      <c r="D17" s="267">
        <v>300</v>
      </c>
      <c r="E17" s="267">
        <v>400</v>
      </c>
      <c r="F17" s="267">
        <v>400</v>
      </c>
      <c r="G17" s="267">
        <v>120</v>
      </c>
      <c r="H17" s="267">
        <v>300</v>
      </c>
      <c r="I17" s="267">
        <v>300</v>
      </c>
      <c r="J17" s="267">
        <v>600</v>
      </c>
      <c r="K17" s="267" t="s">
        <v>725</v>
      </c>
      <c r="L17" s="267"/>
    </row>
    <row r="18" spans="1:12">
      <c r="A18" s="266" t="s">
        <v>828</v>
      </c>
      <c r="B18" s="267">
        <v>90</v>
      </c>
      <c r="C18" s="267">
        <v>90</v>
      </c>
      <c r="D18" s="267">
        <v>90</v>
      </c>
      <c r="E18" s="267">
        <v>95</v>
      </c>
      <c r="F18" s="267">
        <v>95</v>
      </c>
      <c r="G18" s="267">
        <v>85</v>
      </c>
      <c r="H18" s="267">
        <v>95</v>
      </c>
      <c r="I18" s="267">
        <v>92</v>
      </c>
      <c r="J18" s="267">
        <v>99</v>
      </c>
      <c r="K18" s="267"/>
      <c r="L18" s="267"/>
    </row>
    <row r="19" spans="1:12">
      <c r="A19" s="266" t="s">
        <v>726</v>
      </c>
      <c r="B19" s="267">
        <v>0.83299999999999996</v>
      </c>
      <c r="C19" s="267">
        <v>0.83299999999999996</v>
      </c>
      <c r="D19" s="267">
        <v>0.72</v>
      </c>
      <c r="E19" s="267">
        <v>0.66</v>
      </c>
      <c r="F19" s="267">
        <v>0.66</v>
      </c>
      <c r="G19" s="272">
        <v>0.66</v>
      </c>
      <c r="H19" s="272">
        <v>1</v>
      </c>
      <c r="I19" s="272">
        <v>0.55000000000000004</v>
      </c>
      <c r="J19" s="272">
        <v>0.72</v>
      </c>
      <c r="K19" s="267"/>
      <c r="L19" s="267"/>
    </row>
    <row r="20" spans="1:12">
      <c r="A20" s="282" t="s">
        <v>728</v>
      </c>
      <c r="B20" s="267">
        <v>60</v>
      </c>
      <c r="C20" s="267">
        <v>60</v>
      </c>
      <c r="D20" s="267">
        <v>60</v>
      </c>
      <c r="E20" s="267">
        <v>70</v>
      </c>
      <c r="F20" s="267">
        <v>70</v>
      </c>
      <c r="G20" s="267">
        <v>50</v>
      </c>
      <c r="H20" s="267">
        <v>80</v>
      </c>
      <c r="I20" s="267">
        <v>50</v>
      </c>
      <c r="J20" s="267">
        <v>120</v>
      </c>
      <c r="K20" s="267" t="s">
        <v>729</v>
      </c>
      <c r="L20" s="290"/>
    </row>
    <row r="21" spans="1:12">
      <c r="A21" s="287" t="s">
        <v>819</v>
      </c>
      <c r="B21" s="284"/>
      <c r="C21" s="284"/>
      <c r="D21" s="284"/>
      <c r="E21" s="284"/>
      <c r="F21" s="284"/>
      <c r="G21" s="284"/>
      <c r="H21" s="284"/>
      <c r="I21" s="284"/>
      <c r="J21" s="284"/>
      <c r="K21" s="284"/>
      <c r="L21" s="284"/>
    </row>
    <row r="22" spans="1:12">
      <c r="A22" s="278" t="s">
        <v>731</v>
      </c>
      <c r="B22" s="272"/>
      <c r="C22" s="272"/>
      <c r="D22" s="272"/>
      <c r="E22" s="272"/>
      <c r="F22" s="272"/>
      <c r="G22" s="272"/>
      <c r="H22" s="272"/>
      <c r="I22" s="272"/>
      <c r="J22" s="272"/>
      <c r="K22" s="272"/>
      <c r="L22" s="272"/>
    </row>
    <row r="23" spans="1:12">
      <c r="A23" s="266" t="s">
        <v>732</v>
      </c>
      <c r="B23" s="267">
        <v>5</v>
      </c>
      <c r="C23" s="267">
        <v>5</v>
      </c>
      <c r="D23" s="267">
        <v>3</v>
      </c>
      <c r="E23" s="267">
        <v>3</v>
      </c>
      <c r="F23" s="267">
        <v>3</v>
      </c>
      <c r="G23" s="267">
        <v>3</v>
      </c>
      <c r="H23" s="267">
        <v>3</v>
      </c>
      <c r="I23" s="267">
        <v>3</v>
      </c>
      <c r="J23" s="267">
        <v>3</v>
      </c>
      <c r="K23" s="267"/>
      <c r="L23" s="267"/>
    </row>
    <row r="24" spans="1:12">
      <c r="A24" s="266" t="s">
        <v>734</v>
      </c>
      <c r="B24" s="267">
        <v>3</v>
      </c>
      <c r="C24" s="267">
        <v>3</v>
      </c>
      <c r="D24" s="267">
        <v>3</v>
      </c>
      <c r="E24" s="267">
        <v>2</v>
      </c>
      <c r="F24" s="267">
        <v>2</v>
      </c>
      <c r="G24" s="267">
        <v>2</v>
      </c>
      <c r="H24" s="267">
        <v>4</v>
      </c>
      <c r="I24" s="267">
        <v>2</v>
      </c>
      <c r="J24" s="267">
        <v>3</v>
      </c>
      <c r="K24" s="267"/>
      <c r="L24" s="267"/>
    </row>
    <row r="25" spans="1:12">
      <c r="A25" s="266" t="s">
        <v>735</v>
      </c>
      <c r="B25" s="267">
        <v>25</v>
      </c>
      <c r="C25" s="267">
        <v>25</v>
      </c>
      <c r="D25" s="267">
        <v>25</v>
      </c>
      <c r="E25" s="267">
        <v>25</v>
      </c>
      <c r="F25" s="267">
        <v>25</v>
      </c>
      <c r="G25" s="267">
        <v>25</v>
      </c>
      <c r="H25" s="267">
        <v>25</v>
      </c>
      <c r="I25" s="267">
        <v>25</v>
      </c>
      <c r="J25" s="267">
        <v>25</v>
      </c>
      <c r="K25" s="267"/>
      <c r="L25" s="267"/>
    </row>
    <row r="26" spans="1:12">
      <c r="A26" s="266" t="s">
        <v>737</v>
      </c>
      <c r="B26" s="267">
        <v>3</v>
      </c>
      <c r="C26" s="267">
        <v>3</v>
      </c>
      <c r="D26" s="267">
        <v>2.5</v>
      </c>
      <c r="E26" s="267">
        <v>2</v>
      </c>
      <c r="F26" s="267">
        <v>2</v>
      </c>
      <c r="G26" s="267">
        <v>2</v>
      </c>
      <c r="H26" s="267">
        <v>4</v>
      </c>
      <c r="I26" s="267">
        <v>2</v>
      </c>
      <c r="J26" s="267">
        <v>3</v>
      </c>
      <c r="K26" s="267"/>
      <c r="L26" s="267"/>
    </row>
    <row r="27" spans="1:12" ht="14.7" customHeight="1">
      <c r="A27" s="283" t="s">
        <v>739</v>
      </c>
      <c r="B27" s="283"/>
      <c r="C27" s="283"/>
      <c r="D27" s="283"/>
      <c r="E27" s="283"/>
      <c r="F27" s="283"/>
      <c r="G27" s="283"/>
      <c r="H27" s="283"/>
      <c r="I27" s="283"/>
      <c r="J27" s="283"/>
      <c r="K27" s="283"/>
      <c r="L27" s="283"/>
    </row>
    <row r="28" spans="1:12" ht="14.7" customHeight="1">
      <c r="A28" s="266" t="s">
        <v>740</v>
      </c>
      <c r="B28" s="323">
        <v>2.7</v>
      </c>
      <c r="C28" s="267">
        <v>2.5</v>
      </c>
      <c r="D28" s="267">
        <v>2.2999999999999998</v>
      </c>
      <c r="E28" s="267">
        <v>2</v>
      </c>
      <c r="F28" s="267">
        <v>1.6</v>
      </c>
      <c r="G28" s="267">
        <v>2.2000000000000002</v>
      </c>
      <c r="H28" s="267">
        <v>3.7</v>
      </c>
      <c r="I28" s="267">
        <v>1.2</v>
      </c>
      <c r="J28" s="267">
        <v>2.2000000000000002</v>
      </c>
      <c r="K28" s="267" t="s">
        <v>733</v>
      </c>
      <c r="L28" s="283"/>
    </row>
    <row r="29" spans="1:12" ht="14.7" customHeight="1">
      <c r="A29" s="282" t="s">
        <v>818</v>
      </c>
      <c r="B29" s="267">
        <v>50</v>
      </c>
      <c r="C29" s="267">
        <v>50</v>
      </c>
      <c r="D29" s="267">
        <v>50</v>
      </c>
      <c r="E29" s="267">
        <v>50</v>
      </c>
      <c r="F29" s="267">
        <v>50</v>
      </c>
      <c r="G29" s="283"/>
      <c r="H29" s="283"/>
      <c r="I29" s="283"/>
      <c r="J29" s="283"/>
      <c r="K29" s="267" t="s">
        <v>736</v>
      </c>
      <c r="L29" s="283"/>
    </row>
    <row r="30" spans="1:12">
      <c r="A30" s="266" t="s">
        <v>817</v>
      </c>
      <c r="B30" s="267">
        <v>10</v>
      </c>
      <c r="C30" s="267">
        <v>10</v>
      </c>
      <c r="D30" s="267">
        <v>10</v>
      </c>
      <c r="E30" s="267">
        <v>10</v>
      </c>
      <c r="F30" s="267">
        <v>10</v>
      </c>
      <c r="G30" s="267"/>
      <c r="H30" s="267"/>
      <c r="I30" s="267"/>
      <c r="J30" s="266"/>
      <c r="K30" s="267" t="s">
        <v>738</v>
      </c>
      <c r="L30" s="267"/>
    </row>
    <row r="31" spans="1:12">
      <c r="A31" s="322" t="s">
        <v>816</v>
      </c>
      <c r="B31" s="267">
        <v>10</v>
      </c>
      <c r="C31" s="267">
        <v>10</v>
      </c>
      <c r="D31" s="267">
        <v>10</v>
      </c>
      <c r="E31" s="267">
        <v>10</v>
      </c>
      <c r="F31" s="267">
        <v>10</v>
      </c>
      <c r="G31" s="267"/>
      <c r="H31" s="267"/>
      <c r="I31" s="267"/>
      <c r="J31" s="282"/>
      <c r="K31" s="267"/>
      <c r="L31" s="267"/>
    </row>
    <row r="32" spans="1:12">
      <c r="A32" s="266" t="s">
        <v>815</v>
      </c>
      <c r="B32" s="267">
        <v>15</v>
      </c>
      <c r="C32" s="267">
        <v>15</v>
      </c>
      <c r="D32" s="267">
        <v>15</v>
      </c>
      <c r="E32" s="267">
        <v>15</v>
      </c>
      <c r="F32" s="267">
        <v>15</v>
      </c>
      <c r="G32" s="267"/>
      <c r="H32" s="267"/>
      <c r="I32" s="267"/>
      <c r="J32" s="282"/>
      <c r="K32" s="267" t="s">
        <v>741</v>
      </c>
      <c r="L32" s="267"/>
    </row>
    <row r="33" spans="1:12">
      <c r="A33" s="266" t="s">
        <v>814</v>
      </c>
      <c r="B33" s="267">
        <v>15</v>
      </c>
      <c r="C33" s="267">
        <v>15</v>
      </c>
      <c r="D33" s="267">
        <v>15</v>
      </c>
      <c r="E33" s="267">
        <v>15</v>
      </c>
      <c r="F33" s="267">
        <v>15</v>
      </c>
      <c r="G33" s="267"/>
      <c r="H33" s="267"/>
      <c r="I33" s="267"/>
      <c r="J33" s="266"/>
      <c r="K33" s="267"/>
      <c r="L33" s="267"/>
    </row>
    <row r="34" spans="1:12">
      <c r="A34" s="287" t="s">
        <v>813</v>
      </c>
      <c r="B34" s="272">
        <f t="shared" ref="B34:J34" si="0">B28*0.03</f>
        <v>8.1000000000000003E-2</v>
      </c>
      <c r="C34" s="272">
        <f t="shared" si="0"/>
        <v>7.4999999999999997E-2</v>
      </c>
      <c r="D34" s="272">
        <f t="shared" si="0"/>
        <v>6.8999999999999992E-2</v>
      </c>
      <c r="E34" s="272">
        <f t="shared" si="0"/>
        <v>0.06</v>
      </c>
      <c r="F34" s="272">
        <f t="shared" si="0"/>
        <v>4.8000000000000001E-2</v>
      </c>
      <c r="G34" s="272">
        <f t="shared" si="0"/>
        <v>6.6000000000000003E-2</v>
      </c>
      <c r="H34" s="272">
        <f t="shared" si="0"/>
        <v>0.111</v>
      </c>
      <c r="I34" s="272">
        <f t="shared" si="0"/>
        <v>3.5999999999999997E-2</v>
      </c>
      <c r="J34" s="272">
        <f t="shared" si="0"/>
        <v>6.6000000000000003E-2</v>
      </c>
      <c r="K34" s="267" t="s">
        <v>745</v>
      </c>
      <c r="L34" s="272"/>
    </row>
    <row r="35" spans="1:12">
      <c r="A35" s="282" t="s">
        <v>812</v>
      </c>
      <c r="B35" s="267">
        <v>2.5</v>
      </c>
      <c r="C35" s="267">
        <v>2.5</v>
      </c>
      <c r="D35" s="267">
        <v>2.5</v>
      </c>
      <c r="E35" s="267">
        <v>2.5</v>
      </c>
      <c r="F35" s="267">
        <v>2.5</v>
      </c>
      <c r="G35" s="272">
        <v>1.5</v>
      </c>
      <c r="H35" s="272">
        <v>3.5</v>
      </c>
      <c r="I35" s="272">
        <v>1.5</v>
      </c>
      <c r="J35" s="272">
        <v>3.5</v>
      </c>
      <c r="K35" s="267"/>
      <c r="L35" s="272"/>
    </row>
    <row r="36" spans="1:12">
      <c r="A36" s="281" t="s">
        <v>811</v>
      </c>
      <c r="B36" s="267">
        <v>25</v>
      </c>
      <c r="C36" s="267">
        <v>25</v>
      </c>
      <c r="D36" s="267">
        <v>25</v>
      </c>
      <c r="E36" s="267">
        <v>25</v>
      </c>
      <c r="F36" s="267">
        <v>25</v>
      </c>
      <c r="G36" s="267"/>
      <c r="H36" s="267"/>
      <c r="I36" s="267"/>
      <c r="J36" s="282"/>
      <c r="K36" s="285"/>
      <c r="L36" s="267"/>
    </row>
    <row r="37" spans="1:12">
      <c r="A37" s="265" t="s">
        <v>749</v>
      </c>
      <c r="B37" s="279"/>
      <c r="C37" s="279"/>
      <c r="D37" s="279"/>
      <c r="E37" s="279"/>
      <c r="F37" s="279"/>
      <c r="G37" s="279"/>
      <c r="H37" s="279"/>
      <c r="I37" s="279"/>
      <c r="J37" s="279"/>
      <c r="K37" s="279"/>
      <c r="L37" s="280"/>
    </row>
    <row r="38" spans="1:12" ht="20.399999999999999">
      <c r="A38" s="282" t="s">
        <v>751</v>
      </c>
      <c r="B38" s="277">
        <v>0.1</v>
      </c>
      <c r="C38" s="277">
        <v>0.1</v>
      </c>
      <c r="D38" s="267">
        <v>8.5000000000000006E-2</v>
      </c>
      <c r="E38" s="267">
        <v>7.4999999999999997E-2</v>
      </c>
      <c r="F38" s="267">
        <v>7.4999999999999997E-2</v>
      </c>
      <c r="G38" s="267">
        <v>0.09</v>
      </c>
      <c r="H38" s="267">
        <v>0.11</v>
      </c>
      <c r="I38" s="267">
        <v>7.0000000000000007E-2</v>
      </c>
      <c r="J38" s="290">
        <v>0.09</v>
      </c>
      <c r="K38" s="267" t="s">
        <v>747</v>
      </c>
      <c r="L38" s="267"/>
    </row>
    <row r="39" spans="1:12" ht="20.399999999999999">
      <c r="A39" s="282" t="s">
        <v>753</v>
      </c>
      <c r="B39" s="267">
        <v>0.16</v>
      </c>
      <c r="C39" s="267">
        <v>0.16</v>
      </c>
      <c r="D39" s="267">
        <v>0.14000000000000001</v>
      </c>
      <c r="E39" s="267">
        <v>0.13</v>
      </c>
      <c r="F39" s="267">
        <v>0.13</v>
      </c>
      <c r="G39" s="267">
        <v>0.14000000000000001</v>
      </c>
      <c r="H39" s="267">
        <v>0.18</v>
      </c>
      <c r="I39" s="267">
        <v>0.12</v>
      </c>
      <c r="J39" s="290">
        <v>0.15</v>
      </c>
      <c r="K39" s="267" t="s">
        <v>747</v>
      </c>
      <c r="L39" s="267"/>
    </row>
    <row r="40" spans="1:12">
      <c r="A40" s="282"/>
      <c r="B40" s="267"/>
      <c r="C40" s="267"/>
      <c r="D40" s="267"/>
      <c r="E40" s="267"/>
      <c r="F40" s="282"/>
      <c r="G40" s="267"/>
      <c r="H40" s="267"/>
      <c r="I40" s="267"/>
      <c r="J40" s="282"/>
      <c r="K40" s="267"/>
      <c r="L40" s="267"/>
    </row>
    <row r="41" spans="1:12">
      <c r="A41" s="266"/>
      <c r="B41" s="267"/>
      <c r="C41" s="267"/>
      <c r="D41" s="267"/>
      <c r="E41" s="267"/>
      <c r="F41" s="266"/>
      <c r="G41" s="267"/>
      <c r="H41" s="267"/>
      <c r="I41" s="267"/>
      <c r="J41" s="266"/>
      <c r="K41" s="267"/>
      <c r="L41" s="267"/>
    </row>
    <row r="42" spans="1:12">
      <c r="A42" s="291"/>
    </row>
    <row r="43" spans="1:12">
      <c r="A43" s="292" t="s">
        <v>754</v>
      </c>
    </row>
    <row r="44" spans="1:12">
      <c r="A44" s="254">
        <v>1</v>
      </c>
    </row>
    <row r="45" spans="1:12">
      <c r="A45" s="254">
        <v>2</v>
      </c>
    </row>
    <row r="46" spans="1:12">
      <c r="A46" s="254">
        <v>3</v>
      </c>
    </row>
    <row r="49" spans="1:2">
      <c r="A49" s="293" t="s">
        <v>759</v>
      </c>
    </row>
    <row r="50" spans="1:2">
      <c r="A50" s="294" t="s">
        <v>709</v>
      </c>
      <c r="B50" s="254" t="s">
        <v>827</v>
      </c>
    </row>
    <row r="51" spans="1:2">
      <c r="A51" s="294" t="s">
        <v>712</v>
      </c>
      <c r="B51" s="254" t="s">
        <v>809</v>
      </c>
    </row>
    <row r="52" spans="1:2">
      <c r="A52" s="294" t="s">
        <v>714</v>
      </c>
      <c r="B52" s="254" t="s">
        <v>808</v>
      </c>
    </row>
    <row r="53" spans="1:2">
      <c r="A53" s="294" t="s">
        <v>718</v>
      </c>
      <c r="B53" s="254" t="s">
        <v>807</v>
      </c>
    </row>
    <row r="54" spans="1:2">
      <c r="A54" s="294" t="s">
        <v>722</v>
      </c>
      <c r="B54" s="254" t="s">
        <v>806</v>
      </c>
    </row>
    <row r="55" spans="1:2">
      <c r="A55" s="294" t="s">
        <v>725</v>
      </c>
      <c r="B55" s="254" t="s">
        <v>805</v>
      </c>
    </row>
    <row r="56" spans="1:2">
      <c r="A56" s="294" t="s">
        <v>727</v>
      </c>
      <c r="B56" s="254" t="s">
        <v>804</v>
      </c>
    </row>
    <row r="57" spans="1:2">
      <c r="A57" s="294" t="s">
        <v>729</v>
      </c>
      <c r="B57" s="254" t="s">
        <v>803</v>
      </c>
    </row>
    <row r="58" spans="1:2">
      <c r="A58" s="294" t="s">
        <v>733</v>
      </c>
      <c r="B58" s="254" t="s">
        <v>826</v>
      </c>
    </row>
    <row r="59" spans="1:2">
      <c r="A59" s="294" t="s">
        <v>736</v>
      </c>
      <c r="B59" s="254" t="s">
        <v>801</v>
      </c>
    </row>
    <row r="60" spans="1:2">
      <c r="A60" s="294" t="s">
        <v>738</v>
      </c>
      <c r="B60" s="254" t="s">
        <v>800</v>
      </c>
    </row>
    <row r="61" spans="1:2">
      <c r="A61" s="294" t="s">
        <v>741</v>
      </c>
      <c r="B61" s="254" t="s">
        <v>799</v>
      </c>
    </row>
    <row r="62" spans="1:2">
      <c r="A62" s="294" t="s">
        <v>745</v>
      </c>
      <c r="B62" s="254" t="s">
        <v>798</v>
      </c>
    </row>
    <row r="63" spans="1:2">
      <c r="A63" s="294" t="s">
        <v>747</v>
      </c>
      <c r="B63" s="254" t="s">
        <v>797</v>
      </c>
    </row>
  </sheetData>
  <mergeCells count="3">
    <mergeCell ref="B2:L2"/>
    <mergeCell ref="G3:H3"/>
    <mergeCell ref="I3:J3"/>
  </mergeCells>
  <hyperlinks>
    <hyperlink ref="B2" location="INDEX" display="Post-combustion carbon capture retrofit - 500 MW(th) biomass-fired boiler" xr:uid="{1ACB918C-D181-4F3E-AC10-3DBF2A9301BC}"/>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F3AF-E263-4358-BF5E-37BB39C48DB9}">
  <sheetPr>
    <tabColor theme="5" tint="0.59999389629810485"/>
  </sheetPr>
  <dimension ref="A1:O62"/>
  <sheetViews>
    <sheetView topLeftCell="A5" zoomScale="110" zoomScaleNormal="110" workbookViewId="0">
      <selection activeCell="B12" sqref="B12"/>
    </sheetView>
  </sheetViews>
  <sheetFormatPr defaultColWidth="8.6640625" defaultRowHeight="14.4"/>
  <cols>
    <col min="1" max="1" width="40.6640625" style="254" customWidth="1"/>
    <col min="2" max="10" width="8.5546875" style="254" customWidth="1"/>
    <col min="11" max="12" width="6.33203125" style="254" customWidth="1"/>
    <col min="13" max="14" width="8.6640625" style="254"/>
    <col min="15" max="15" width="11.33203125" style="254" bestFit="1" customWidth="1"/>
    <col min="16" max="16384" width="8.6640625" style="254"/>
  </cols>
  <sheetData>
    <row r="1" spans="1:12" s="134" customFormat="1"/>
    <row r="2" spans="1:12" ht="15.75" customHeight="1">
      <c r="A2" s="253" t="s">
        <v>700</v>
      </c>
      <c r="B2" s="387" t="s">
        <v>842</v>
      </c>
      <c r="C2" s="389"/>
      <c r="D2" s="389"/>
      <c r="E2" s="389"/>
      <c r="F2" s="389"/>
      <c r="G2" s="389"/>
      <c r="H2" s="389"/>
      <c r="I2" s="389"/>
      <c r="J2" s="389"/>
      <c r="K2" s="389"/>
      <c r="L2" s="390"/>
    </row>
    <row r="3" spans="1:12" ht="15.75" customHeight="1">
      <c r="A3" s="255"/>
      <c r="B3" s="256">
        <v>2020</v>
      </c>
      <c r="C3" s="256">
        <v>2025</v>
      </c>
      <c r="D3" s="257">
        <v>2030</v>
      </c>
      <c r="E3" s="257">
        <v>2040</v>
      </c>
      <c r="F3" s="258">
        <v>2050</v>
      </c>
      <c r="G3" s="393" t="s">
        <v>702</v>
      </c>
      <c r="H3" s="394"/>
      <c r="I3" s="393" t="s">
        <v>703</v>
      </c>
      <c r="J3" s="394"/>
      <c r="K3" s="257" t="s">
        <v>537</v>
      </c>
      <c r="L3" s="259" t="s">
        <v>704</v>
      </c>
    </row>
    <row r="4" spans="1:12">
      <c r="A4" s="255"/>
      <c r="B4" s="260"/>
      <c r="C4" s="261"/>
      <c r="D4" s="262"/>
      <c r="E4" s="262"/>
      <c r="F4" s="262"/>
      <c r="G4" s="263" t="s">
        <v>705</v>
      </c>
      <c r="H4" s="263" t="s">
        <v>706</v>
      </c>
      <c r="I4" s="263" t="s">
        <v>705</v>
      </c>
      <c r="J4" s="263" t="s">
        <v>706</v>
      </c>
      <c r="K4" s="262"/>
      <c r="L4" s="264"/>
    </row>
    <row r="5" spans="1:12">
      <c r="A5" s="265" t="s">
        <v>707</v>
      </c>
      <c r="B5" s="262"/>
      <c r="C5" s="262"/>
      <c r="D5" s="262"/>
      <c r="E5" s="262"/>
      <c r="F5" s="262"/>
      <c r="G5" s="262"/>
      <c r="H5" s="262"/>
      <c r="I5" s="262"/>
      <c r="J5" s="262"/>
      <c r="K5" s="262"/>
      <c r="L5" s="264"/>
    </row>
    <row r="6" spans="1:12">
      <c r="A6" s="266" t="s">
        <v>708</v>
      </c>
      <c r="B6" s="267">
        <v>152</v>
      </c>
      <c r="C6" s="267">
        <v>152</v>
      </c>
      <c r="D6" s="267">
        <v>152</v>
      </c>
      <c r="E6" s="267">
        <v>160</v>
      </c>
      <c r="F6" s="267">
        <v>160</v>
      </c>
      <c r="G6" s="267">
        <v>144</v>
      </c>
      <c r="H6" s="267">
        <v>160</v>
      </c>
      <c r="I6" s="267">
        <v>155</v>
      </c>
      <c r="J6" s="267">
        <v>167</v>
      </c>
      <c r="K6" s="267" t="s">
        <v>709</v>
      </c>
      <c r="L6" s="267"/>
    </row>
    <row r="7" spans="1:12">
      <c r="A7" s="278" t="s">
        <v>710</v>
      </c>
      <c r="B7" s="324"/>
      <c r="C7" s="324"/>
      <c r="D7" s="324"/>
      <c r="E7" s="324"/>
      <c r="F7" s="324"/>
      <c r="G7" s="324"/>
      <c r="H7" s="324"/>
      <c r="I7" s="324"/>
      <c r="J7" s="324"/>
      <c r="K7" s="324"/>
      <c r="L7" s="324"/>
    </row>
    <row r="8" spans="1:12">
      <c r="A8" s="266" t="s">
        <v>824</v>
      </c>
      <c r="B8" s="267">
        <v>5.0999999999999996</v>
      </c>
      <c r="C8" s="267">
        <v>5.0999999999999996</v>
      </c>
      <c r="D8" s="267">
        <v>5.0999999999999996</v>
      </c>
      <c r="E8" s="267">
        <v>4.8</v>
      </c>
      <c r="F8" s="267">
        <v>4.8</v>
      </c>
      <c r="G8" s="267">
        <v>4</v>
      </c>
      <c r="H8" s="267">
        <v>6.5</v>
      </c>
      <c r="I8" s="267">
        <v>4</v>
      </c>
      <c r="J8" s="267">
        <v>6.5</v>
      </c>
      <c r="K8" s="267"/>
      <c r="L8" s="267"/>
    </row>
    <row r="9" spans="1:12">
      <c r="A9" s="282" t="s">
        <v>823</v>
      </c>
      <c r="B9" s="290">
        <v>20</v>
      </c>
      <c r="C9" s="290">
        <v>20</v>
      </c>
      <c r="D9" s="290">
        <v>20</v>
      </c>
      <c r="E9" s="290">
        <v>20</v>
      </c>
      <c r="F9" s="290">
        <v>20</v>
      </c>
      <c r="G9" s="290">
        <v>15</v>
      </c>
      <c r="H9" s="290">
        <v>30</v>
      </c>
      <c r="I9" s="290">
        <v>15</v>
      </c>
      <c r="J9" s="290">
        <v>30</v>
      </c>
      <c r="K9" s="290"/>
      <c r="L9" s="290"/>
    </row>
    <row r="10" spans="1:12">
      <c r="A10" s="282" t="s">
        <v>831</v>
      </c>
      <c r="B10" s="267">
        <v>125</v>
      </c>
      <c r="C10" s="267">
        <v>125</v>
      </c>
      <c r="D10" s="267">
        <v>125</v>
      </c>
      <c r="E10" s="267">
        <v>125</v>
      </c>
      <c r="F10" s="267">
        <v>125</v>
      </c>
      <c r="G10" s="267">
        <v>80</v>
      </c>
      <c r="H10" s="267">
        <v>200</v>
      </c>
      <c r="I10" s="267">
        <v>80</v>
      </c>
      <c r="J10" s="267">
        <v>200</v>
      </c>
      <c r="K10" s="267" t="s">
        <v>712</v>
      </c>
      <c r="L10" s="267"/>
    </row>
    <row r="11" spans="1:12">
      <c r="A11" s="273" t="s">
        <v>713</v>
      </c>
      <c r="B11" s="267">
        <v>0.83299999999999996</v>
      </c>
      <c r="C11" s="267">
        <v>0.83299999999999996</v>
      </c>
      <c r="D11" s="267">
        <v>0.72</v>
      </c>
      <c r="E11" s="267">
        <v>0.66</v>
      </c>
      <c r="F11" s="267">
        <v>0.66</v>
      </c>
      <c r="G11" s="272">
        <v>0.66</v>
      </c>
      <c r="H11" s="272">
        <v>1</v>
      </c>
      <c r="I11" s="272">
        <v>0.55000000000000004</v>
      </c>
      <c r="J11" s="272">
        <v>0.72</v>
      </c>
      <c r="K11" s="272" t="s">
        <v>714</v>
      </c>
      <c r="L11" s="272"/>
    </row>
    <row r="12" spans="1:12">
      <c r="A12" s="276" t="s">
        <v>717</v>
      </c>
      <c r="B12" s="290">
        <v>2.5000000000000001E-2</v>
      </c>
      <c r="C12" s="290">
        <v>2.5000000000000001E-2</v>
      </c>
      <c r="D12" s="290">
        <v>2.1999999999999999E-2</v>
      </c>
      <c r="E12" s="290">
        <v>0.02</v>
      </c>
      <c r="F12" s="290">
        <v>1.7999999999999999E-2</v>
      </c>
      <c r="G12" s="290">
        <v>0.02</v>
      </c>
      <c r="H12" s="290">
        <v>0.03</v>
      </c>
      <c r="I12" s="290">
        <v>1.4999999999999999E-2</v>
      </c>
      <c r="J12" s="290">
        <v>2.1000000000000001E-2</v>
      </c>
      <c r="K12" s="290" t="s">
        <v>718</v>
      </c>
      <c r="L12" s="290"/>
    </row>
    <row r="13" spans="1:12">
      <c r="A13" s="273" t="s">
        <v>821</v>
      </c>
      <c r="B13" s="272">
        <v>0.3</v>
      </c>
      <c r="C13" s="272">
        <v>0.3</v>
      </c>
      <c r="D13" s="272">
        <v>0.2</v>
      </c>
      <c r="E13" s="272">
        <v>0.15</v>
      </c>
      <c r="F13" s="272">
        <v>0.1</v>
      </c>
      <c r="G13" s="272">
        <v>0.15</v>
      </c>
      <c r="H13" s="272">
        <v>1.5</v>
      </c>
      <c r="I13" s="272">
        <v>0.05</v>
      </c>
      <c r="J13" s="272">
        <v>0.3</v>
      </c>
      <c r="K13" s="272"/>
      <c r="L13" s="272"/>
    </row>
    <row r="14" spans="1:12">
      <c r="A14" s="266" t="s">
        <v>719</v>
      </c>
      <c r="B14" s="267"/>
      <c r="C14" s="267"/>
      <c r="D14" s="267"/>
      <c r="E14" s="267"/>
      <c r="F14" s="267"/>
      <c r="G14" s="267"/>
      <c r="H14" s="267"/>
      <c r="I14" s="267"/>
      <c r="J14" s="267"/>
      <c r="K14" s="267"/>
      <c r="L14" s="267"/>
    </row>
    <row r="15" spans="1:12">
      <c r="A15" s="278" t="s">
        <v>720</v>
      </c>
      <c r="B15" s="324"/>
      <c r="C15" s="324"/>
      <c r="D15" s="324"/>
      <c r="E15" s="324"/>
      <c r="F15" s="324"/>
      <c r="G15" s="324"/>
      <c r="H15" s="324"/>
      <c r="I15" s="324"/>
      <c r="J15" s="324"/>
      <c r="K15" s="324"/>
      <c r="L15" s="324"/>
    </row>
    <row r="16" spans="1:12">
      <c r="A16" s="281" t="s">
        <v>721</v>
      </c>
      <c r="B16" s="267">
        <v>97</v>
      </c>
      <c r="C16" s="267">
        <v>97</v>
      </c>
      <c r="D16" s="267">
        <v>98</v>
      </c>
      <c r="E16" s="267">
        <v>99</v>
      </c>
      <c r="F16" s="267">
        <v>99</v>
      </c>
      <c r="G16" s="267">
        <v>96</v>
      </c>
      <c r="H16" s="267">
        <v>98</v>
      </c>
      <c r="I16" s="267">
        <v>98</v>
      </c>
      <c r="J16" s="267">
        <v>99</v>
      </c>
      <c r="K16" s="267" t="s">
        <v>722</v>
      </c>
      <c r="L16" s="267"/>
    </row>
    <row r="17" spans="1:15">
      <c r="A17" s="281" t="s">
        <v>723</v>
      </c>
      <c r="B17" s="267">
        <v>160</v>
      </c>
      <c r="C17" s="267">
        <v>160</v>
      </c>
      <c r="D17" s="267">
        <v>300</v>
      </c>
      <c r="E17" s="267">
        <v>400</v>
      </c>
      <c r="F17" s="267">
        <v>400</v>
      </c>
      <c r="G17" s="267">
        <v>120</v>
      </c>
      <c r="H17" s="267">
        <v>300</v>
      </c>
      <c r="I17" s="267">
        <v>300</v>
      </c>
      <c r="J17" s="267">
        <v>600</v>
      </c>
      <c r="K17" s="267" t="s">
        <v>725</v>
      </c>
      <c r="L17" s="267"/>
    </row>
    <row r="18" spans="1:15">
      <c r="A18" s="266" t="s">
        <v>820</v>
      </c>
      <c r="B18" s="267">
        <v>90</v>
      </c>
      <c r="C18" s="267">
        <v>90</v>
      </c>
      <c r="D18" s="267">
        <v>90</v>
      </c>
      <c r="E18" s="267">
        <v>95</v>
      </c>
      <c r="F18" s="267">
        <v>95</v>
      </c>
      <c r="G18" s="267">
        <v>85</v>
      </c>
      <c r="H18" s="267">
        <v>95</v>
      </c>
      <c r="I18" s="267">
        <v>92</v>
      </c>
      <c r="J18" s="267">
        <v>99</v>
      </c>
      <c r="K18" s="267"/>
      <c r="L18" s="267"/>
    </row>
    <row r="19" spans="1:15">
      <c r="A19" s="266" t="s">
        <v>726</v>
      </c>
      <c r="B19" s="267">
        <v>1.65</v>
      </c>
      <c r="C19" s="267">
        <v>1.65</v>
      </c>
      <c r="D19" s="267">
        <v>1.54</v>
      </c>
      <c r="E19" s="267">
        <v>1.48</v>
      </c>
      <c r="F19" s="267">
        <v>1.48</v>
      </c>
      <c r="G19" s="272">
        <v>1.48</v>
      </c>
      <c r="H19" s="272">
        <v>1.8</v>
      </c>
      <c r="I19" s="272">
        <v>1.3</v>
      </c>
      <c r="J19" s="272">
        <v>1.55</v>
      </c>
      <c r="K19" s="267"/>
      <c r="L19" s="267"/>
    </row>
    <row r="20" spans="1:15">
      <c r="A20" s="282" t="s">
        <v>728</v>
      </c>
      <c r="B20" s="267">
        <v>60</v>
      </c>
      <c r="C20" s="267">
        <v>60</v>
      </c>
      <c r="D20" s="267">
        <v>60</v>
      </c>
      <c r="E20" s="267">
        <v>70</v>
      </c>
      <c r="F20" s="267">
        <v>70</v>
      </c>
      <c r="G20" s="267">
        <v>50</v>
      </c>
      <c r="H20" s="267">
        <v>80</v>
      </c>
      <c r="I20" s="267">
        <v>50</v>
      </c>
      <c r="J20" s="267">
        <v>120</v>
      </c>
      <c r="K20" s="267" t="s">
        <v>729</v>
      </c>
      <c r="L20" s="290"/>
    </row>
    <row r="21" spans="1:15">
      <c r="A21" s="287" t="s">
        <v>841</v>
      </c>
      <c r="B21" s="326">
        <v>1</v>
      </c>
      <c r="C21" s="326">
        <v>1</v>
      </c>
      <c r="D21" s="326">
        <v>1</v>
      </c>
      <c r="E21" s="326">
        <v>1</v>
      </c>
      <c r="F21" s="326">
        <v>1</v>
      </c>
      <c r="G21" s="326">
        <v>1</v>
      </c>
      <c r="H21" s="326">
        <v>1</v>
      </c>
      <c r="I21" s="326">
        <v>1</v>
      </c>
      <c r="J21" s="326">
        <v>1</v>
      </c>
      <c r="K21" s="267" t="s">
        <v>733</v>
      </c>
      <c r="L21" s="284"/>
    </row>
    <row r="22" spans="1:15">
      <c r="A22" s="278" t="s">
        <v>731</v>
      </c>
      <c r="B22" s="272"/>
      <c r="C22" s="272"/>
      <c r="D22" s="272"/>
      <c r="E22" s="272"/>
      <c r="F22" s="272"/>
      <c r="G22" s="272"/>
      <c r="H22" s="272"/>
      <c r="I22" s="272"/>
      <c r="J22" s="272"/>
      <c r="K22" s="272"/>
      <c r="L22" s="272"/>
    </row>
    <row r="23" spans="1:15">
      <c r="A23" s="266" t="s">
        <v>732</v>
      </c>
      <c r="B23" s="267">
        <v>5</v>
      </c>
      <c r="C23" s="267">
        <v>5</v>
      </c>
      <c r="D23" s="267">
        <v>3</v>
      </c>
      <c r="E23" s="267">
        <v>3</v>
      </c>
      <c r="F23" s="267">
        <v>3</v>
      </c>
      <c r="G23" s="267">
        <v>3</v>
      </c>
      <c r="H23" s="267">
        <v>3</v>
      </c>
      <c r="I23" s="267">
        <v>3</v>
      </c>
      <c r="J23" s="267">
        <v>3</v>
      </c>
      <c r="K23" s="267"/>
      <c r="L23" s="267"/>
    </row>
    <row r="24" spans="1:15">
      <c r="A24" s="266" t="s">
        <v>734</v>
      </c>
      <c r="B24" s="267">
        <v>3</v>
      </c>
      <c r="C24" s="267">
        <v>3</v>
      </c>
      <c r="D24" s="267">
        <v>3</v>
      </c>
      <c r="E24" s="267">
        <v>2</v>
      </c>
      <c r="F24" s="267">
        <v>2</v>
      </c>
      <c r="G24" s="267">
        <v>2</v>
      </c>
      <c r="H24" s="267">
        <v>4</v>
      </c>
      <c r="I24" s="267">
        <v>2</v>
      </c>
      <c r="J24" s="267">
        <v>3</v>
      </c>
      <c r="K24" s="267"/>
      <c r="L24" s="267"/>
    </row>
    <row r="25" spans="1:15">
      <c r="A25" s="266" t="s">
        <v>735</v>
      </c>
      <c r="B25" s="267">
        <v>25</v>
      </c>
      <c r="C25" s="267">
        <v>25</v>
      </c>
      <c r="D25" s="267">
        <v>25</v>
      </c>
      <c r="E25" s="267">
        <v>25</v>
      </c>
      <c r="F25" s="267">
        <v>25</v>
      </c>
      <c r="G25" s="267">
        <v>25</v>
      </c>
      <c r="H25" s="267">
        <v>25</v>
      </c>
      <c r="I25" s="267">
        <v>25</v>
      </c>
      <c r="J25" s="267">
        <v>25</v>
      </c>
      <c r="K25" s="267"/>
      <c r="L25" s="267"/>
    </row>
    <row r="26" spans="1:15">
      <c r="A26" s="266" t="s">
        <v>737</v>
      </c>
      <c r="B26" s="267">
        <v>3</v>
      </c>
      <c r="C26" s="267">
        <v>3</v>
      </c>
      <c r="D26" s="267">
        <v>2.5</v>
      </c>
      <c r="E26" s="267">
        <v>2.5</v>
      </c>
      <c r="F26" s="267">
        <v>2.5</v>
      </c>
      <c r="G26" s="267">
        <v>2.5</v>
      </c>
      <c r="H26" s="267">
        <v>4</v>
      </c>
      <c r="I26" s="267">
        <v>2</v>
      </c>
      <c r="J26" s="267">
        <v>3.5</v>
      </c>
      <c r="K26" s="267"/>
      <c r="L26" s="267"/>
      <c r="O26" s="286"/>
    </row>
    <row r="27" spans="1:15" ht="14.7" customHeight="1">
      <c r="A27" s="283" t="s">
        <v>739</v>
      </c>
      <c r="B27" s="283"/>
      <c r="C27" s="283"/>
      <c r="D27" s="283"/>
      <c r="E27" s="283"/>
      <c r="F27" s="283"/>
      <c r="G27" s="283"/>
      <c r="H27" s="283"/>
      <c r="I27" s="283"/>
      <c r="J27" s="283"/>
      <c r="K27" s="283"/>
      <c r="L27" s="283"/>
    </row>
    <row r="28" spans="1:15">
      <c r="A28" s="266" t="s">
        <v>740</v>
      </c>
      <c r="B28" s="323">
        <v>3</v>
      </c>
      <c r="C28" s="267">
        <v>2.8</v>
      </c>
      <c r="D28" s="267">
        <v>2.6</v>
      </c>
      <c r="E28" s="267">
        <v>2.2000000000000002</v>
      </c>
      <c r="F28" s="267">
        <v>1.8</v>
      </c>
      <c r="G28" s="267">
        <v>2.8</v>
      </c>
      <c r="H28" s="267">
        <v>5.2</v>
      </c>
      <c r="I28" s="267">
        <v>1.4</v>
      </c>
      <c r="J28" s="267">
        <v>2.4</v>
      </c>
      <c r="K28" s="284" t="s">
        <v>736</v>
      </c>
      <c r="L28" s="267"/>
    </row>
    <row r="29" spans="1:15">
      <c r="A29" s="282" t="s">
        <v>818</v>
      </c>
      <c r="B29" s="267">
        <v>45</v>
      </c>
      <c r="C29" s="267">
        <v>45</v>
      </c>
      <c r="D29" s="267">
        <v>45</v>
      </c>
      <c r="E29" s="267">
        <v>45</v>
      </c>
      <c r="F29" s="267">
        <v>45</v>
      </c>
      <c r="G29" s="267"/>
      <c r="H29" s="267"/>
      <c r="I29" s="267"/>
      <c r="J29" s="282"/>
      <c r="K29" s="284" t="s">
        <v>738</v>
      </c>
      <c r="L29" s="267"/>
    </row>
    <row r="30" spans="1:15">
      <c r="A30" s="266" t="s">
        <v>817</v>
      </c>
      <c r="B30" s="267">
        <v>10</v>
      </c>
      <c r="C30" s="267">
        <v>10</v>
      </c>
      <c r="D30" s="267">
        <v>10</v>
      </c>
      <c r="E30" s="267">
        <v>10</v>
      </c>
      <c r="F30" s="267">
        <v>10</v>
      </c>
      <c r="G30" s="267"/>
      <c r="H30" s="267"/>
      <c r="I30" s="267"/>
      <c r="J30" s="266"/>
      <c r="K30" s="284" t="s">
        <v>741</v>
      </c>
      <c r="L30" s="267"/>
    </row>
    <row r="31" spans="1:15">
      <c r="A31" s="322" t="s">
        <v>816</v>
      </c>
      <c r="B31" s="267">
        <v>10</v>
      </c>
      <c r="C31" s="267">
        <v>10</v>
      </c>
      <c r="D31" s="267">
        <v>10</v>
      </c>
      <c r="E31" s="267">
        <v>10</v>
      </c>
      <c r="F31" s="267">
        <v>10</v>
      </c>
      <c r="G31" s="272"/>
      <c r="H31" s="272"/>
      <c r="I31" s="272"/>
      <c r="J31" s="287"/>
      <c r="K31" s="285"/>
      <c r="L31" s="272"/>
    </row>
    <row r="32" spans="1:15">
      <c r="A32" s="266" t="s">
        <v>840</v>
      </c>
      <c r="B32" s="267">
        <v>20</v>
      </c>
      <c r="C32" s="267">
        <v>20</v>
      </c>
      <c r="D32" s="267">
        <v>20</v>
      </c>
      <c r="E32" s="267">
        <v>20</v>
      </c>
      <c r="F32" s="267">
        <v>20</v>
      </c>
      <c r="G32" s="267"/>
      <c r="H32" s="267"/>
      <c r="I32" s="267"/>
      <c r="J32" s="282"/>
      <c r="K32" s="284" t="s">
        <v>745</v>
      </c>
      <c r="L32" s="267"/>
    </row>
    <row r="33" spans="1:12">
      <c r="A33" s="266" t="s">
        <v>814</v>
      </c>
      <c r="B33" s="267">
        <v>15</v>
      </c>
      <c r="C33" s="267">
        <v>15</v>
      </c>
      <c r="D33" s="267">
        <v>15</v>
      </c>
      <c r="E33" s="267">
        <v>15</v>
      </c>
      <c r="F33" s="267">
        <v>15</v>
      </c>
      <c r="G33" s="267"/>
      <c r="H33" s="267"/>
      <c r="I33" s="267"/>
      <c r="J33" s="282"/>
      <c r="K33" s="285"/>
      <c r="L33" s="267"/>
    </row>
    <row r="34" spans="1:12">
      <c r="A34" s="287" t="s">
        <v>813</v>
      </c>
      <c r="B34" s="272">
        <f t="shared" ref="B34:J34" si="0">B28*0.03</f>
        <v>0.09</v>
      </c>
      <c r="C34" s="272">
        <f t="shared" si="0"/>
        <v>8.3999999999999991E-2</v>
      </c>
      <c r="D34" s="272">
        <f t="shared" si="0"/>
        <v>7.8E-2</v>
      </c>
      <c r="E34" s="272">
        <f t="shared" si="0"/>
        <v>6.6000000000000003E-2</v>
      </c>
      <c r="F34" s="272">
        <f t="shared" si="0"/>
        <v>5.3999999999999999E-2</v>
      </c>
      <c r="G34" s="272">
        <f t="shared" si="0"/>
        <v>8.3999999999999991E-2</v>
      </c>
      <c r="H34" s="272">
        <f t="shared" si="0"/>
        <v>0.156</v>
      </c>
      <c r="I34" s="272">
        <f t="shared" si="0"/>
        <v>4.1999999999999996E-2</v>
      </c>
      <c r="J34" s="272">
        <f t="shared" si="0"/>
        <v>7.1999999999999995E-2</v>
      </c>
      <c r="K34" s="284" t="s">
        <v>747</v>
      </c>
      <c r="L34" s="280"/>
    </row>
    <row r="35" spans="1:12">
      <c r="A35" s="282" t="s">
        <v>812</v>
      </c>
      <c r="B35" s="267">
        <v>2.5</v>
      </c>
      <c r="C35" s="267">
        <v>2.5</v>
      </c>
      <c r="D35" s="267">
        <v>2.5</v>
      </c>
      <c r="E35" s="267">
        <v>2.5</v>
      </c>
      <c r="F35" s="267">
        <v>2.5</v>
      </c>
      <c r="G35" s="272">
        <v>1.5</v>
      </c>
      <c r="H35" s="272">
        <v>3.5</v>
      </c>
      <c r="I35" s="272">
        <v>1.5</v>
      </c>
      <c r="J35" s="272">
        <v>3.5</v>
      </c>
      <c r="K35" s="284"/>
      <c r="L35" s="267"/>
    </row>
    <row r="36" spans="1:12">
      <c r="A36" s="281" t="s">
        <v>811</v>
      </c>
      <c r="B36" s="267">
        <v>25</v>
      </c>
      <c r="C36" s="267">
        <v>25</v>
      </c>
      <c r="D36" s="267">
        <v>25</v>
      </c>
      <c r="E36" s="267">
        <v>25</v>
      </c>
      <c r="F36" s="267">
        <v>25</v>
      </c>
      <c r="G36" s="267"/>
      <c r="H36" s="267"/>
      <c r="I36" s="267"/>
      <c r="J36" s="282"/>
      <c r="K36" s="267"/>
      <c r="L36" s="267"/>
    </row>
    <row r="37" spans="1:12">
      <c r="A37" s="265" t="s">
        <v>749</v>
      </c>
      <c r="B37" s="267"/>
      <c r="C37" s="267"/>
      <c r="D37" s="267"/>
      <c r="E37" s="267"/>
      <c r="F37" s="290"/>
      <c r="G37" s="267"/>
      <c r="H37" s="267"/>
      <c r="I37" s="267"/>
      <c r="J37" s="282"/>
      <c r="K37" s="267"/>
      <c r="L37" s="267"/>
    </row>
    <row r="38" spans="1:12" ht="20.399999999999999">
      <c r="A38" s="282" t="s">
        <v>751</v>
      </c>
      <c r="B38" s="277">
        <v>0.1</v>
      </c>
      <c r="C38" s="277">
        <v>0.1</v>
      </c>
      <c r="D38" s="267">
        <v>8.5000000000000006E-2</v>
      </c>
      <c r="E38" s="267">
        <v>7.4999999999999997E-2</v>
      </c>
      <c r="F38" s="267">
        <v>7.4999999999999997E-2</v>
      </c>
      <c r="G38" s="267">
        <v>0.09</v>
      </c>
      <c r="H38" s="267">
        <v>0.11</v>
      </c>
      <c r="I38" s="267">
        <v>7.0000000000000007E-2</v>
      </c>
      <c r="J38" s="290">
        <v>0.09</v>
      </c>
      <c r="K38" s="267" t="s">
        <v>752</v>
      </c>
      <c r="L38" s="267"/>
    </row>
    <row r="39" spans="1:12" ht="20.399999999999999">
      <c r="A39" s="266" t="s">
        <v>753</v>
      </c>
      <c r="B39" s="267">
        <v>0.16</v>
      </c>
      <c r="C39" s="267">
        <v>0.16</v>
      </c>
      <c r="D39" s="267">
        <v>0.14000000000000001</v>
      </c>
      <c r="E39" s="267">
        <v>0.13</v>
      </c>
      <c r="F39" s="267">
        <v>0.13</v>
      </c>
      <c r="G39" s="267">
        <v>0.14000000000000001</v>
      </c>
      <c r="H39" s="267">
        <v>0.18</v>
      </c>
      <c r="I39" s="267">
        <v>0.12</v>
      </c>
      <c r="J39" s="267">
        <v>0.15</v>
      </c>
      <c r="K39" s="267" t="s">
        <v>752</v>
      </c>
      <c r="L39" s="267"/>
    </row>
    <row r="40" spans="1:12">
      <c r="A40" s="291"/>
    </row>
    <row r="41" spans="1:12">
      <c r="A41" s="292" t="s">
        <v>754</v>
      </c>
    </row>
    <row r="42" spans="1:12">
      <c r="A42" s="254">
        <v>1</v>
      </c>
    </row>
    <row r="43" spans="1:12">
      <c r="A43" s="254">
        <v>2</v>
      </c>
    </row>
    <row r="44" spans="1:12">
      <c r="A44" s="254">
        <v>3</v>
      </c>
    </row>
    <row r="47" spans="1:12">
      <c r="A47" s="293" t="s">
        <v>759</v>
      </c>
    </row>
    <row r="48" spans="1:12">
      <c r="A48" s="294" t="s">
        <v>709</v>
      </c>
      <c r="B48" s="254" t="s">
        <v>839</v>
      </c>
    </row>
    <row r="49" spans="1:2">
      <c r="A49" s="294" t="s">
        <v>712</v>
      </c>
      <c r="B49" s="254" t="s">
        <v>838</v>
      </c>
    </row>
    <row r="50" spans="1:2">
      <c r="A50" s="294" t="s">
        <v>714</v>
      </c>
      <c r="B50" s="254" t="s">
        <v>837</v>
      </c>
    </row>
    <row r="51" spans="1:2">
      <c r="A51" s="294" t="s">
        <v>718</v>
      </c>
      <c r="B51" s="254" t="s">
        <v>807</v>
      </c>
    </row>
    <row r="52" spans="1:2">
      <c r="A52" s="294" t="s">
        <v>722</v>
      </c>
      <c r="B52" s="254" t="s">
        <v>806</v>
      </c>
    </row>
    <row r="53" spans="1:2">
      <c r="A53" s="294" t="s">
        <v>725</v>
      </c>
      <c r="B53" s="254" t="s">
        <v>805</v>
      </c>
    </row>
    <row r="54" spans="1:2">
      <c r="A54" s="294" t="s">
        <v>727</v>
      </c>
      <c r="B54" s="254" t="s">
        <v>836</v>
      </c>
    </row>
    <row r="55" spans="1:2">
      <c r="A55" s="294" t="s">
        <v>729</v>
      </c>
      <c r="B55" s="254" t="s">
        <v>803</v>
      </c>
    </row>
    <row r="56" spans="1:2">
      <c r="A56" s="294" t="s">
        <v>733</v>
      </c>
      <c r="B56" s="254" t="s">
        <v>835</v>
      </c>
    </row>
    <row r="57" spans="1:2">
      <c r="A57" s="294" t="s">
        <v>736</v>
      </c>
      <c r="B57" s="254" t="s">
        <v>834</v>
      </c>
    </row>
    <row r="58" spans="1:2">
      <c r="A58" s="294" t="s">
        <v>738</v>
      </c>
      <c r="B58" s="254" t="s">
        <v>801</v>
      </c>
    </row>
    <row r="59" spans="1:2">
      <c r="A59" s="294" t="s">
        <v>741</v>
      </c>
      <c r="B59" s="254" t="s">
        <v>800</v>
      </c>
    </row>
    <row r="60" spans="1:2">
      <c r="A60" s="294" t="s">
        <v>745</v>
      </c>
      <c r="B60" s="254" t="s">
        <v>833</v>
      </c>
    </row>
    <row r="61" spans="1:2">
      <c r="A61" s="294" t="s">
        <v>747</v>
      </c>
      <c r="B61" s="254" t="s">
        <v>798</v>
      </c>
    </row>
    <row r="62" spans="1:2">
      <c r="A62" s="294" t="s">
        <v>752</v>
      </c>
      <c r="B62" s="254" t="s">
        <v>797</v>
      </c>
    </row>
  </sheetData>
  <mergeCells count="3">
    <mergeCell ref="B2:L2"/>
    <mergeCell ref="G3:H3"/>
    <mergeCell ref="I3:J3"/>
  </mergeCells>
  <hyperlinks>
    <hyperlink ref="B2" location="INDEX" display="Post-combustion carbon capture - Retrofit 4500 ton clinker per day cement kiln" xr:uid="{69CC1E87-E106-408D-BB3D-9B8BBD965294}"/>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275D0-0831-4936-BD39-40240783BC39}">
  <sheetPr>
    <tabColor theme="5" tint="0.59999389629810485"/>
  </sheetPr>
  <dimension ref="A1:L57"/>
  <sheetViews>
    <sheetView zoomScale="120" zoomScaleNormal="120" workbookViewId="0">
      <selection activeCell="B2" sqref="B2:L2"/>
    </sheetView>
  </sheetViews>
  <sheetFormatPr defaultColWidth="8.6640625" defaultRowHeight="14.4"/>
  <cols>
    <col min="1" max="1" width="54.33203125" style="254" customWidth="1"/>
    <col min="2" max="10" width="8.5546875" style="254" customWidth="1"/>
    <col min="11" max="11" width="7.88671875" style="254" customWidth="1"/>
    <col min="12" max="12" width="6.33203125" style="254" customWidth="1"/>
    <col min="13" max="13" width="8.6640625" style="254"/>
    <col min="14" max="14" width="12" style="254" bestFit="1" customWidth="1"/>
    <col min="15" max="16384" width="8.6640625" style="254"/>
  </cols>
  <sheetData>
    <row r="1" spans="1:12" s="134" customFormat="1"/>
    <row r="2" spans="1:12" ht="15.75" customHeight="1">
      <c r="A2" s="253" t="s">
        <v>700</v>
      </c>
      <c r="B2" s="387" t="s">
        <v>865</v>
      </c>
      <c r="C2" s="388"/>
      <c r="D2" s="389"/>
      <c r="E2" s="389"/>
      <c r="F2" s="389"/>
      <c r="G2" s="389"/>
      <c r="H2" s="389"/>
      <c r="I2" s="389"/>
      <c r="J2" s="389"/>
      <c r="K2" s="389"/>
      <c r="L2" s="390"/>
    </row>
    <row r="3" spans="1:12" ht="15.75" customHeight="1">
      <c r="A3" s="255"/>
      <c r="B3" s="256">
        <v>2020</v>
      </c>
      <c r="C3" s="256">
        <v>2025</v>
      </c>
      <c r="D3" s="257">
        <v>2030</v>
      </c>
      <c r="E3" s="257">
        <v>2040</v>
      </c>
      <c r="F3" s="258">
        <v>2050</v>
      </c>
      <c r="G3" s="391" t="s">
        <v>702</v>
      </c>
      <c r="H3" s="392"/>
      <c r="I3" s="393" t="s">
        <v>703</v>
      </c>
      <c r="J3" s="394"/>
      <c r="K3" s="257" t="s">
        <v>537</v>
      </c>
      <c r="L3" s="259" t="s">
        <v>704</v>
      </c>
    </row>
    <row r="4" spans="1:12">
      <c r="A4" s="255"/>
      <c r="B4" s="260"/>
      <c r="C4" s="261"/>
      <c r="D4" s="262"/>
      <c r="E4" s="262"/>
      <c r="F4" s="262"/>
      <c r="G4" s="263" t="s">
        <v>705</v>
      </c>
      <c r="H4" s="263" t="s">
        <v>706</v>
      </c>
      <c r="I4" s="263" t="s">
        <v>705</v>
      </c>
      <c r="J4" s="263" t="s">
        <v>706</v>
      </c>
      <c r="K4" s="262"/>
      <c r="L4" s="264"/>
    </row>
    <row r="5" spans="1:12">
      <c r="A5" s="265" t="s">
        <v>707</v>
      </c>
      <c r="B5" s="262"/>
      <c r="C5" s="262"/>
      <c r="D5" s="262"/>
      <c r="E5" s="262"/>
      <c r="F5" s="262"/>
      <c r="G5" s="262"/>
      <c r="H5" s="262"/>
      <c r="I5" s="262"/>
      <c r="J5" s="262"/>
      <c r="K5" s="262"/>
      <c r="L5" s="264"/>
    </row>
    <row r="6" spans="1:12">
      <c r="A6" s="266" t="s">
        <v>708</v>
      </c>
      <c r="B6" s="267">
        <v>175</v>
      </c>
      <c r="C6" s="267">
        <v>175</v>
      </c>
      <c r="D6" s="267">
        <v>175</v>
      </c>
      <c r="E6" s="267">
        <v>175</v>
      </c>
      <c r="F6" s="267">
        <v>175</v>
      </c>
      <c r="G6" s="267">
        <v>170</v>
      </c>
      <c r="H6" s="267">
        <v>180</v>
      </c>
      <c r="I6" s="267">
        <v>175</v>
      </c>
      <c r="J6" s="267">
        <v>180</v>
      </c>
      <c r="K6" s="267" t="s">
        <v>709</v>
      </c>
      <c r="L6" s="267">
        <v>1</v>
      </c>
    </row>
    <row r="7" spans="1:12">
      <c r="A7" s="268" t="s">
        <v>710</v>
      </c>
      <c r="B7" s="269"/>
      <c r="C7" s="269"/>
      <c r="D7" s="269"/>
      <c r="E7" s="269"/>
      <c r="F7" s="269"/>
      <c r="G7" s="269"/>
      <c r="H7" s="269"/>
      <c r="I7" s="269"/>
      <c r="J7" s="269"/>
      <c r="K7" s="269"/>
      <c r="L7" s="270"/>
    </row>
    <row r="8" spans="1:12">
      <c r="A8" s="266" t="s">
        <v>864</v>
      </c>
      <c r="B8" s="271">
        <v>2</v>
      </c>
      <c r="C8" s="271">
        <v>1.9</v>
      </c>
      <c r="D8" s="272">
        <v>1.85</v>
      </c>
      <c r="E8" s="272">
        <v>1.8</v>
      </c>
      <c r="F8" s="272">
        <v>1.8</v>
      </c>
      <c r="G8" s="272">
        <v>2</v>
      </c>
      <c r="H8" s="272">
        <v>1.8</v>
      </c>
      <c r="I8" s="272">
        <v>2</v>
      </c>
      <c r="J8" s="272">
        <v>1.8</v>
      </c>
      <c r="K8" s="272"/>
      <c r="L8" s="272">
        <v>1</v>
      </c>
    </row>
    <row r="9" spans="1:12">
      <c r="A9" s="282" t="s">
        <v>863</v>
      </c>
      <c r="B9" s="340">
        <v>0.3</v>
      </c>
      <c r="C9" s="340">
        <v>0.31</v>
      </c>
      <c r="D9" s="339">
        <v>0.31</v>
      </c>
      <c r="E9" s="339">
        <v>0.32</v>
      </c>
      <c r="F9" s="339">
        <v>0.32</v>
      </c>
      <c r="G9" s="339">
        <v>0.3</v>
      </c>
      <c r="H9" s="339">
        <v>0.35</v>
      </c>
      <c r="I9" s="339">
        <v>0.3</v>
      </c>
      <c r="J9" s="339">
        <v>0.35</v>
      </c>
      <c r="K9" s="272" t="s">
        <v>712</v>
      </c>
      <c r="L9" s="284">
        <v>1</v>
      </c>
    </row>
    <row r="10" spans="1:12">
      <c r="A10" s="266" t="s">
        <v>862</v>
      </c>
      <c r="B10" s="333">
        <v>0.57999999999999996</v>
      </c>
      <c r="C10" s="333">
        <v>0.6</v>
      </c>
      <c r="D10" s="333">
        <v>0.6</v>
      </c>
      <c r="E10" s="333">
        <v>0.62</v>
      </c>
      <c r="F10" s="333">
        <v>0.62</v>
      </c>
      <c r="G10" s="333">
        <v>0.57999999999999996</v>
      </c>
      <c r="H10" s="333">
        <v>0.62</v>
      </c>
      <c r="I10" s="333">
        <v>0.57999999999999996</v>
      </c>
      <c r="J10" s="333">
        <v>0.62</v>
      </c>
      <c r="K10" s="267"/>
      <c r="L10" s="267">
        <v>1</v>
      </c>
    </row>
    <row r="11" spans="1:12">
      <c r="A11" s="273" t="s">
        <v>713</v>
      </c>
      <c r="B11" s="271">
        <v>0</v>
      </c>
      <c r="C11" s="271">
        <v>0</v>
      </c>
      <c r="D11" s="272">
        <v>0</v>
      </c>
      <c r="E11" s="272">
        <v>0</v>
      </c>
      <c r="F11" s="272">
        <v>0</v>
      </c>
      <c r="G11" s="272">
        <v>0</v>
      </c>
      <c r="H11" s="272">
        <v>0</v>
      </c>
      <c r="I11" s="272">
        <v>0</v>
      </c>
      <c r="J11" s="272">
        <v>0</v>
      </c>
      <c r="K11" s="272"/>
      <c r="L11" s="272">
        <v>1</v>
      </c>
    </row>
    <row r="12" spans="1:12">
      <c r="A12" s="276" t="s">
        <v>717</v>
      </c>
      <c r="B12" s="271">
        <v>0</v>
      </c>
      <c r="C12" s="271">
        <v>0</v>
      </c>
      <c r="D12" s="271">
        <v>0</v>
      </c>
      <c r="E12" s="271">
        <v>0</v>
      </c>
      <c r="F12" s="271">
        <v>0</v>
      </c>
      <c r="G12" s="271">
        <v>0</v>
      </c>
      <c r="H12" s="271">
        <v>0</v>
      </c>
      <c r="I12" s="271">
        <v>0</v>
      </c>
      <c r="J12" s="271">
        <v>0</v>
      </c>
      <c r="K12" s="267" t="s">
        <v>714</v>
      </c>
      <c r="L12" s="267">
        <v>1</v>
      </c>
    </row>
    <row r="13" spans="1:12">
      <c r="A13" s="329" t="s">
        <v>861</v>
      </c>
      <c r="B13" s="267">
        <v>0.86</v>
      </c>
      <c r="C13" s="267">
        <v>0.86</v>
      </c>
      <c r="D13" s="267">
        <v>0.86</v>
      </c>
      <c r="E13" s="267">
        <v>0.86</v>
      </c>
      <c r="F13" s="267">
        <v>0.86</v>
      </c>
      <c r="G13" s="267">
        <v>0.86</v>
      </c>
      <c r="H13" s="267">
        <v>0.86</v>
      </c>
      <c r="I13" s="267">
        <v>0.86</v>
      </c>
      <c r="J13" s="267">
        <v>0.86</v>
      </c>
      <c r="K13" s="267"/>
      <c r="L13" s="267"/>
    </row>
    <row r="14" spans="1:12">
      <c r="A14" s="278" t="s">
        <v>720</v>
      </c>
      <c r="B14" s="269"/>
      <c r="C14" s="269"/>
      <c r="D14" s="269"/>
      <c r="E14" s="269"/>
      <c r="F14" s="269"/>
      <c r="G14" s="269"/>
      <c r="H14" s="269"/>
      <c r="I14" s="269"/>
      <c r="J14" s="269"/>
      <c r="K14" s="269"/>
      <c r="L14" s="270"/>
    </row>
    <row r="15" spans="1:12">
      <c r="A15" s="281" t="s">
        <v>721</v>
      </c>
      <c r="B15" s="338">
        <v>0.7</v>
      </c>
      <c r="C15" s="338">
        <v>0.75</v>
      </c>
      <c r="D15" s="337">
        <v>0.8</v>
      </c>
      <c r="E15" s="337">
        <v>0.8</v>
      </c>
      <c r="F15" s="337">
        <v>0.85</v>
      </c>
      <c r="G15" s="337">
        <v>0.7</v>
      </c>
      <c r="H15" s="337">
        <v>0.8</v>
      </c>
      <c r="I15" s="337">
        <v>0.7</v>
      </c>
      <c r="J15" s="337">
        <v>0.9</v>
      </c>
      <c r="K15" s="272"/>
      <c r="L15" s="272">
        <v>1</v>
      </c>
    </row>
    <row r="16" spans="1:12">
      <c r="A16" s="281" t="s">
        <v>723</v>
      </c>
      <c r="B16" s="271">
        <v>100</v>
      </c>
      <c r="C16" s="271">
        <v>100</v>
      </c>
      <c r="D16" s="271">
        <v>100</v>
      </c>
      <c r="E16" s="271">
        <v>100</v>
      </c>
      <c r="F16" s="271">
        <v>100</v>
      </c>
      <c r="G16" s="271">
        <v>100</v>
      </c>
      <c r="H16" s="271">
        <v>100</v>
      </c>
      <c r="I16" s="271">
        <v>100</v>
      </c>
      <c r="J16" s="271">
        <v>100</v>
      </c>
      <c r="K16" s="272"/>
      <c r="L16" s="272">
        <v>1</v>
      </c>
    </row>
    <row r="17" spans="1:12">
      <c r="A17" s="266" t="s">
        <v>820</v>
      </c>
      <c r="B17" s="336">
        <f t="shared" ref="B17:J17" si="0">+B6/182</f>
        <v>0.96153846153846156</v>
      </c>
      <c r="C17" s="336">
        <f t="shared" si="0"/>
        <v>0.96153846153846156</v>
      </c>
      <c r="D17" s="336">
        <f t="shared" si="0"/>
        <v>0.96153846153846156</v>
      </c>
      <c r="E17" s="336">
        <f t="shared" si="0"/>
        <v>0.96153846153846156</v>
      </c>
      <c r="F17" s="336">
        <f t="shared" si="0"/>
        <v>0.96153846153846156</v>
      </c>
      <c r="G17" s="336">
        <f t="shared" si="0"/>
        <v>0.93406593406593408</v>
      </c>
      <c r="H17" s="336">
        <f t="shared" si="0"/>
        <v>0.98901098901098905</v>
      </c>
      <c r="I17" s="336">
        <f t="shared" si="0"/>
        <v>0.96153846153846156</v>
      </c>
      <c r="J17" s="336">
        <f t="shared" si="0"/>
        <v>0.98901098901098905</v>
      </c>
      <c r="K17" s="272" t="s">
        <v>718</v>
      </c>
      <c r="L17" s="272">
        <v>1</v>
      </c>
    </row>
    <row r="18" spans="1:12">
      <c r="A18" s="266" t="s">
        <v>724</v>
      </c>
      <c r="B18" s="271">
        <v>0.8</v>
      </c>
      <c r="C18" s="271">
        <v>0.8</v>
      </c>
      <c r="D18" s="271">
        <v>0.8</v>
      </c>
      <c r="E18" s="271">
        <v>0.8</v>
      </c>
      <c r="F18" s="271">
        <v>0.8</v>
      </c>
      <c r="G18" s="271">
        <v>0.7</v>
      </c>
      <c r="H18" s="271">
        <v>0.9</v>
      </c>
      <c r="I18" s="271">
        <v>0.7</v>
      </c>
      <c r="J18" s="271">
        <v>0.9</v>
      </c>
      <c r="K18" s="272" t="s">
        <v>722</v>
      </c>
      <c r="L18" s="272">
        <v>1</v>
      </c>
    </row>
    <row r="19" spans="1:12">
      <c r="A19" s="266" t="s">
        <v>860</v>
      </c>
      <c r="B19" s="335">
        <v>0.5</v>
      </c>
      <c r="C19" s="335">
        <v>0.5</v>
      </c>
      <c r="D19" s="335">
        <v>0.5</v>
      </c>
      <c r="E19" s="335">
        <v>0.5</v>
      </c>
      <c r="F19" s="335">
        <v>0.5</v>
      </c>
      <c r="G19" s="335">
        <v>0.4</v>
      </c>
      <c r="H19" s="335">
        <v>0.55000000000000004</v>
      </c>
      <c r="I19" s="335">
        <v>0.4</v>
      </c>
      <c r="J19" s="335">
        <v>0.55000000000000004</v>
      </c>
      <c r="K19" s="267" t="s">
        <v>725</v>
      </c>
      <c r="L19" s="267"/>
    </row>
    <row r="20" spans="1:12">
      <c r="A20" s="282" t="s">
        <v>859</v>
      </c>
      <c r="B20" s="267">
        <v>30</v>
      </c>
      <c r="C20" s="267">
        <v>30</v>
      </c>
      <c r="D20" s="267">
        <v>30</v>
      </c>
      <c r="E20" s="267">
        <v>30</v>
      </c>
      <c r="F20" s="267">
        <v>30</v>
      </c>
      <c r="G20" s="267">
        <v>30</v>
      </c>
      <c r="H20" s="267">
        <v>30</v>
      </c>
      <c r="I20" s="267">
        <v>30</v>
      </c>
      <c r="J20" s="267">
        <v>30</v>
      </c>
      <c r="K20" s="267"/>
      <c r="L20" s="267"/>
    </row>
    <row r="21" spans="1:12">
      <c r="A21" s="278" t="s">
        <v>731</v>
      </c>
      <c r="B21" s="271"/>
      <c r="C21" s="271"/>
      <c r="D21" s="272"/>
      <c r="E21" s="272"/>
      <c r="F21" s="272"/>
      <c r="G21" s="272"/>
      <c r="H21" s="272"/>
      <c r="I21" s="272"/>
      <c r="J21" s="272"/>
      <c r="K21" s="272"/>
      <c r="L21" s="272"/>
    </row>
    <row r="22" spans="1:12">
      <c r="A22" s="266" t="s">
        <v>732</v>
      </c>
      <c r="B22" s="334">
        <v>0.05</v>
      </c>
      <c r="C22" s="334">
        <v>0.05</v>
      </c>
      <c r="D22" s="333">
        <v>0.04</v>
      </c>
      <c r="E22" s="333">
        <v>0.03</v>
      </c>
      <c r="F22" s="333">
        <v>0.03</v>
      </c>
      <c r="G22" s="333">
        <v>0.03</v>
      </c>
      <c r="H22" s="333">
        <v>0.05</v>
      </c>
      <c r="I22" s="333">
        <v>0.03</v>
      </c>
      <c r="J22" s="333">
        <v>0.05</v>
      </c>
      <c r="K22" s="267"/>
      <c r="L22" s="267"/>
    </row>
    <row r="23" spans="1:12">
      <c r="A23" s="266" t="s">
        <v>734</v>
      </c>
      <c r="B23" s="274">
        <v>3</v>
      </c>
      <c r="C23" s="274">
        <v>3</v>
      </c>
      <c r="D23" s="267">
        <v>3</v>
      </c>
      <c r="E23" s="267">
        <v>2</v>
      </c>
      <c r="F23" s="267">
        <v>2</v>
      </c>
      <c r="G23" s="267">
        <v>2</v>
      </c>
      <c r="H23" s="267">
        <v>4</v>
      </c>
      <c r="I23" s="267">
        <v>2</v>
      </c>
      <c r="J23" s="267">
        <v>3</v>
      </c>
      <c r="K23" s="267"/>
      <c r="L23" s="267"/>
    </row>
    <row r="24" spans="1:12">
      <c r="A24" s="266" t="s">
        <v>735</v>
      </c>
      <c r="B24" s="267">
        <v>25</v>
      </c>
      <c r="C24" s="267">
        <v>25</v>
      </c>
      <c r="D24" s="267">
        <v>25</v>
      </c>
      <c r="E24" s="267">
        <v>25</v>
      </c>
      <c r="F24" s="267">
        <v>25</v>
      </c>
      <c r="G24" s="267">
        <v>25</v>
      </c>
      <c r="H24" s="267">
        <v>25</v>
      </c>
      <c r="I24" s="267">
        <v>25</v>
      </c>
      <c r="J24" s="267">
        <v>25</v>
      </c>
      <c r="K24" s="267"/>
      <c r="L24" s="267"/>
    </row>
    <row r="25" spans="1:12">
      <c r="A25" s="329"/>
      <c r="B25" s="267"/>
      <c r="C25" s="267"/>
      <c r="D25" s="267"/>
      <c r="E25" s="267"/>
      <c r="F25" s="267"/>
      <c r="G25" s="267"/>
      <c r="H25" s="267"/>
      <c r="I25" s="267"/>
      <c r="J25" s="267"/>
      <c r="K25" s="267"/>
      <c r="L25" s="267"/>
    </row>
    <row r="26" spans="1:12" ht="14.7" customHeight="1">
      <c r="A26" s="265" t="s">
        <v>739</v>
      </c>
      <c r="B26" s="279"/>
      <c r="C26" s="279"/>
      <c r="D26" s="279"/>
      <c r="E26" s="279"/>
      <c r="F26" s="279"/>
      <c r="G26" s="279"/>
      <c r="H26" s="279"/>
      <c r="I26" s="279"/>
      <c r="J26" s="279"/>
      <c r="K26" s="279"/>
      <c r="L26" s="280"/>
    </row>
    <row r="27" spans="1:12">
      <c r="A27" s="266" t="s">
        <v>740</v>
      </c>
      <c r="B27" s="272">
        <f>0.55+0.9</f>
        <v>1.4500000000000002</v>
      </c>
      <c r="C27" s="272">
        <f>B27</f>
        <v>1.4500000000000002</v>
      </c>
      <c r="D27" s="332">
        <f>+C27*0.95</f>
        <v>1.3775000000000002</v>
      </c>
      <c r="E27" s="332">
        <v>1.3</v>
      </c>
      <c r="F27" s="288">
        <v>1.1499999999999999</v>
      </c>
      <c r="G27" s="272">
        <f>0.4+0.8</f>
        <v>1.2000000000000002</v>
      </c>
      <c r="H27" s="272">
        <f>0.6+2</f>
        <v>2.6</v>
      </c>
      <c r="I27" s="272">
        <f>0.35+0.6</f>
        <v>0.95</v>
      </c>
      <c r="J27" s="284">
        <f>0.6+1.5</f>
        <v>2.1</v>
      </c>
      <c r="K27" s="267" t="s">
        <v>727</v>
      </c>
      <c r="L27" s="272"/>
    </row>
    <row r="28" spans="1:12">
      <c r="A28" s="282" t="s">
        <v>742</v>
      </c>
      <c r="B28" s="267"/>
      <c r="C28" s="267"/>
      <c r="D28" s="267"/>
      <c r="E28" s="267"/>
      <c r="F28" s="282"/>
      <c r="G28" s="267"/>
      <c r="H28" s="267"/>
      <c r="I28" s="267"/>
      <c r="J28" s="282"/>
      <c r="K28" s="267"/>
      <c r="L28" s="267"/>
    </row>
    <row r="29" spans="1:12">
      <c r="A29" s="266" t="s">
        <v>743</v>
      </c>
      <c r="B29" s="267"/>
      <c r="C29" s="267"/>
      <c r="D29" s="267"/>
      <c r="E29" s="267"/>
      <c r="F29" s="266"/>
      <c r="G29" s="267"/>
      <c r="H29" s="267"/>
      <c r="I29" s="267"/>
      <c r="J29" s="266"/>
      <c r="K29" s="267"/>
      <c r="L29" s="267"/>
    </row>
    <row r="30" spans="1:12">
      <c r="A30" s="287" t="s">
        <v>813</v>
      </c>
      <c r="B30" s="331">
        <f t="shared" ref="B30:J30" si="1">0.03*B27</f>
        <v>4.3500000000000004E-2</v>
      </c>
      <c r="C30" s="331">
        <f t="shared" si="1"/>
        <v>4.3500000000000004E-2</v>
      </c>
      <c r="D30" s="331">
        <f t="shared" si="1"/>
        <v>4.1325000000000001E-2</v>
      </c>
      <c r="E30" s="331">
        <f t="shared" si="1"/>
        <v>3.9E-2</v>
      </c>
      <c r="F30" s="331">
        <f t="shared" si="1"/>
        <v>3.4499999999999996E-2</v>
      </c>
      <c r="G30" s="331">
        <f t="shared" si="1"/>
        <v>3.6000000000000004E-2</v>
      </c>
      <c r="H30" s="331">
        <f t="shared" si="1"/>
        <v>7.8E-2</v>
      </c>
      <c r="I30" s="331">
        <f t="shared" si="1"/>
        <v>2.8499999999999998E-2</v>
      </c>
      <c r="J30" s="331">
        <f t="shared" si="1"/>
        <v>6.3E-2</v>
      </c>
      <c r="K30" s="267" t="s">
        <v>729</v>
      </c>
      <c r="L30" s="272"/>
    </row>
    <row r="31" spans="1:12">
      <c r="A31" s="282" t="s">
        <v>858</v>
      </c>
      <c r="B31" s="272">
        <v>2</v>
      </c>
      <c r="C31" s="272">
        <v>2</v>
      </c>
      <c r="D31" s="272">
        <v>2</v>
      </c>
      <c r="E31" s="272">
        <v>2</v>
      </c>
      <c r="F31" s="272">
        <v>2</v>
      </c>
      <c r="G31" s="272">
        <v>2</v>
      </c>
      <c r="H31" s="272">
        <v>2</v>
      </c>
      <c r="I31" s="272">
        <v>2</v>
      </c>
      <c r="J31" s="272">
        <v>2</v>
      </c>
      <c r="K31" s="267" t="s">
        <v>733</v>
      </c>
      <c r="L31" s="272"/>
    </row>
    <row r="32" spans="1:12">
      <c r="A32" s="281" t="s">
        <v>811</v>
      </c>
      <c r="B32" s="272">
        <v>100</v>
      </c>
      <c r="C32" s="272">
        <v>100</v>
      </c>
      <c r="D32" s="272">
        <v>100</v>
      </c>
      <c r="E32" s="272">
        <v>100</v>
      </c>
      <c r="F32" s="272">
        <v>100</v>
      </c>
      <c r="G32" s="272">
        <v>100</v>
      </c>
      <c r="H32" s="330">
        <v>100</v>
      </c>
      <c r="I32" s="272">
        <v>100</v>
      </c>
      <c r="J32" s="272">
        <v>100</v>
      </c>
      <c r="K32" s="267" t="s">
        <v>736</v>
      </c>
      <c r="L32" s="272"/>
    </row>
    <row r="33" spans="1:12">
      <c r="A33" s="282"/>
      <c r="B33" s="267"/>
      <c r="C33" s="267"/>
      <c r="D33" s="267"/>
      <c r="E33" s="267"/>
      <c r="F33" s="282"/>
      <c r="G33" s="267"/>
      <c r="H33" s="267"/>
      <c r="I33" s="267"/>
      <c r="J33" s="282"/>
      <c r="K33" s="267"/>
      <c r="L33" s="267"/>
    </row>
    <row r="34" spans="1:12">
      <c r="A34" s="265" t="s">
        <v>749</v>
      </c>
      <c r="B34" s="267"/>
      <c r="C34" s="267"/>
      <c r="D34" s="267"/>
      <c r="E34" s="267"/>
      <c r="F34" s="266"/>
      <c r="G34" s="267"/>
      <c r="H34" s="267"/>
      <c r="I34" s="267"/>
      <c r="J34" s="266"/>
      <c r="K34" s="267"/>
      <c r="L34" s="267"/>
    </row>
    <row r="35" spans="1:12">
      <c r="A35" s="266" t="s">
        <v>857</v>
      </c>
      <c r="B35" s="272">
        <v>0.8</v>
      </c>
      <c r="C35" s="272">
        <v>0.8</v>
      </c>
      <c r="D35" s="272">
        <v>0.75</v>
      </c>
      <c r="E35" s="272">
        <v>0.7</v>
      </c>
      <c r="F35" s="272">
        <v>0.6</v>
      </c>
      <c r="G35" s="330">
        <v>0.7</v>
      </c>
      <c r="H35" s="330">
        <v>0.9</v>
      </c>
      <c r="I35" s="330">
        <v>0.5</v>
      </c>
      <c r="J35" s="330">
        <v>0.8</v>
      </c>
      <c r="K35" s="267" t="s">
        <v>738</v>
      </c>
      <c r="L35" s="285"/>
    </row>
    <row r="36" spans="1:12">
      <c r="A36" s="281" t="s">
        <v>856</v>
      </c>
      <c r="B36" s="267">
        <v>0.19</v>
      </c>
      <c r="C36" s="267">
        <v>0.18</v>
      </c>
      <c r="D36" s="267">
        <v>0.16</v>
      </c>
      <c r="E36" s="267">
        <v>0.15</v>
      </c>
      <c r="F36" s="267">
        <v>0.15</v>
      </c>
      <c r="G36" s="267">
        <v>0.18</v>
      </c>
      <c r="H36" s="267">
        <v>0.2</v>
      </c>
      <c r="I36" s="267">
        <v>0.125</v>
      </c>
      <c r="J36" s="267">
        <v>0.17499999999999999</v>
      </c>
      <c r="K36" s="328"/>
      <c r="L36" s="328"/>
    </row>
    <row r="37" spans="1:12">
      <c r="A37" s="329" t="s">
        <v>855</v>
      </c>
      <c r="B37" s="284">
        <v>0.18</v>
      </c>
      <c r="C37" s="284">
        <v>0.18</v>
      </c>
      <c r="D37" s="284">
        <v>0.17</v>
      </c>
      <c r="E37" s="284">
        <v>0.16</v>
      </c>
      <c r="F37" s="284">
        <v>0.15</v>
      </c>
      <c r="G37" s="267">
        <v>0.16</v>
      </c>
      <c r="H37" s="267">
        <v>0.2</v>
      </c>
      <c r="I37" s="267">
        <v>0.12</v>
      </c>
      <c r="J37" s="267">
        <v>0.18</v>
      </c>
      <c r="K37" s="328"/>
      <c r="L37" s="328"/>
    </row>
    <row r="38" spans="1:12">
      <c r="A38" s="281" t="s">
        <v>854</v>
      </c>
      <c r="B38" s="267">
        <v>0.3</v>
      </c>
      <c r="C38" s="267">
        <v>0.3</v>
      </c>
      <c r="D38" s="267">
        <v>0.28999999999999998</v>
      </c>
      <c r="E38" s="267">
        <v>0.27</v>
      </c>
      <c r="F38" s="267">
        <v>0.25</v>
      </c>
      <c r="G38" s="267">
        <v>0.25</v>
      </c>
      <c r="H38" s="267">
        <v>0.35</v>
      </c>
      <c r="I38" s="267">
        <v>0.2</v>
      </c>
      <c r="J38" s="267">
        <v>0.3</v>
      </c>
      <c r="K38" s="285"/>
      <c r="L38" s="285"/>
    </row>
    <row r="39" spans="1:12">
      <c r="A39" s="327"/>
    </row>
    <row r="40" spans="1:12">
      <c r="A40" s="292" t="s">
        <v>754</v>
      </c>
    </row>
    <row r="41" spans="1:12">
      <c r="A41" s="254">
        <v>1</v>
      </c>
      <c r="B41" s="254" t="s">
        <v>853</v>
      </c>
    </row>
    <row r="42" spans="1:12">
      <c r="A42" s="254">
        <v>2</v>
      </c>
    </row>
    <row r="43" spans="1:12">
      <c r="A43" s="254">
        <v>3</v>
      </c>
    </row>
    <row r="46" spans="1:12">
      <c r="A46" s="293" t="s">
        <v>759</v>
      </c>
    </row>
    <row r="47" spans="1:12">
      <c r="A47" s="294" t="s">
        <v>709</v>
      </c>
      <c r="B47" s="254" t="s">
        <v>827</v>
      </c>
    </row>
    <row r="48" spans="1:12">
      <c r="A48" s="294" t="s">
        <v>712</v>
      </c>
      <c r="B48" s="254" t="s">
        <v>852</v>
      </c>
    </row>
    <row r="49" spans="1:2">
      <c r="A49" s="294" t="s">
        <v>714</v>
      </c>
      <c r="B49" s="254" t="s">
        <v>851</v>
      </c>
    </row>
    <row r="50" spans="1:2">
      <c r="A50" s="294" t="s">
        <v>718</v>
      </c>
      <c r="B50" s="254" t="s">
        <v>850</v>
      </c>
    </row>
    <row r="51" spans="1:2">
      <c r="A51" s="294" t="s">
        <v>722</v>
      </c>
      <c r="B51" s="254" t="s">
        <v>849</v>
      </c>
    </row>
    <row r="52" spans="1:2">
      <c r="A52" s="294" t="s">
        <v>725</v>
      </c>
      <c r="B52" s="254" t="s">
        <v>848</v>
      </c>
    </row>
    <row r="53" spans="1:2">
      <c r="A53" s="294" t="s">
        <v>727</v>
      </c>
      <c r="B53" s="254" t="s">
        <v>847</v>
      </c>
    </row>
    <row r="54" spans="1:2">
      <c r="A54" s="294" t="s">
        <v>729</v>
      </c>
      <c r="B54" s="254" t="s">
        <v>846</v>
      </c>
    </row>
    <row r="55" spans="1:2">
      <c r="A55" s="294" t="s">
        <v>733</v>
      </c>
      <c r="B55" s="254" t="s">
        <v>845</v>
      </c>
    </row>
    <row r="56" spans="1:2">
      <c r="A56" s="294" t="s">
        <v>736</v>
      </c>
      <c r="B56" s="254" t="s">
        <v>844</v>
      </c>
    </row>
    <row r="57" spans="1:2">
      <c r="A57" s="294" t="s">
        <v>738</v>
      </c>
      <c r="B57" s="254" t="s">
        <v>843</v>
      </c>
    </row>
  </sheetData>
  <mergeCells count="3">
    <mergeCell ref="B2:L2"/>
    <mergeCell ref="G3:H3"/>
    <mergeCell ref="I3:J3"/>
  </mergeCells>
  <hyperlinks>
    <hyperlink ref="B2" location="INDEX" display="Oxy-fuel carbon capture - Retrofit 500 MW biomass boiler excluding ASU" xr:uid="{CBC3A8FA-C881-43AA-8FE7-DFE42B703830}"/>
  </hyperlinks>
  <pageMargins left="0.25" right="0.25"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289F1-49B2-4BF8-A8CD-200D739BB819}">
  <sheetPr>
    <tabColor theme="5" tint="0.59999389629810485"/>
  </sheetPr>
  <dimension ref="A1:L56"/>
  <sheetViews>
    <sheetView zoomScale="110" zoomScaleNormal="110" workbookViewId="0">
      <selection activeCell="B2" sqref="B2:L2"/>
    </sheetView>
  </sheetViews>
  <sheetFormatPr defaultColWidth="8.6640625" defaultRowHeight="14.4"/>
  <cols>
    <col min="1" max="1" width="54.33203125" style="254" customWidth="1"/>
    <col min="2" max="10" width="8.5546875" style="254" customWidth="1"/>
    <col min="11" max="12" width="6.33203125" style="254" customWidth="1"/>
    <col min="13" max="16384" width="8.6640625" style="254"/>
  </cols>
  <sheetData>
    <row r="1" spans="1:12" s="134" customFormat="1"/>
    <row r="2" spans="1:12" ht="15.75" customHeight="1">
      <c r="A2" s="253" t="s">
        <v>700</v>
      </c>
      <c r="B2" s="387" t="s">
        <v>875</v>
      </c>
      <c r="C2" s="388"/>
      <c r="D2" s="389"/>
      <c r="E2" s="389"/>
      <c r="F2" s="389"/>
      <c r="G2" s="389"/>
      <c r="H2" s="389"/>
      <c r="I2" s="389"/>
      <c r="J2" s="389"/>
      <c r="K2" s="389"/>
      <c r="L2" s="390"/>
    </row>
    <row r="3" spans="1:12" ht="15.75" customHeight="1">
      <c r="A3" s="255"/>
      <c r="B3" s="256">
        <v>2020</v>
      </c>
      <c r="C3" s="256">
        <v>2025</v>
      </c>
      <c r="D3" s="257">
        <v>2030</v>
      </c>
      <c r="E3" s="257">
        <v>2040</v>
      </c>
      <c r="F3" s="258">
        <v>2050</v>
      </c>
      <c r="G3" s="391" t="s">
        <v>702</v>
      </c>
      <c r="H3" s="392"/>
      <c r="I3" s="393" t="s">
        <v>703</v>
      </c>
      <c r="J3" s="394"/>
      <c r="K3" s="257" t="s">
        <v>537</v>
      </c>
      <c r="L3" s="259" t="s">
        <v>704</v>
      </c>
    </row>
    <row r="4" spans="1:12">
      <c r="A4" s="255"/>
      <c r="B4" s="260"/>
      <c r="C4" s="261"/>
      <c r="D4" s="262"/>
      <c r="E4" s="262"/>
      <c r="F4" s="262"/>
      <c r="G4" s="263" t="s">
        <v>705</v>
      </c>
      <c r="H4" s="263" t="s">
        <v>706</v>
      </c>
      <c r="I4" s="263" t="s">
        <v>705</v>
      </c>
      <c r="J4" s="263" t="s">
        <v>706</v>
      </c>
      <c r="K4" s="262"/>
      <c r="L4" s="264"/>
    </row>
    <row r="5" spans="1:12">
      <c r="A5" s="265" t="s">
        <v>707</v>
      </c>
      <c r="B5" s="262"/>
      <c r="C5" s="262"/>
      <c r="D5" s="262"/>
      <c r="E5" s="262"/>
      <c r="F5" s="262"/>
      <c r="G5" s="262"/>
      <c r="H5" s="262"/>
      <c r="I5" s="262"/>
      <c r="J5" s="262"/>
      <c r="K5" s="262"/>
      <c r="L5" s="264"/>
    </row>
    <row r="6" spans="1:12">
      <c r="A6" s="266" t="s">
        <v>708</v>
      </c>
      <c r="B6" s="267">
        <v>94.5</v>
      </c>
      <c r="C6" s="267">
        <v>94.5</v>
      </c>
      <c r="D6" s="267">
        <v>94.5</v>
      </c>
      <c r="E6" s="267">
        <v>100</v>
      </c>
      <c r="F6" s="267">
        <v>100</v>
      </c>
      <c r="G6" s="267">
        <v>90</v>
      </c>
      <c r="H6" s="267">
        <v>100</v>
      </c>
      <c r="I6" s="267">
        <v>95</v>
      </c>
      <c r="J6" s="267">
        <v>104</v>
      </c>
      <c r="K6" s="267" t="s">
        <v>709</v>
      </c>
      <c r="L6" s="267">
        <v>1</v>
      </c>
    </row>
    <row r="7" spans="1:12">
      <c r="A7" s="268" t="s">
        <v>710</v>
      </c>
      <c r="B7" s="269"/>
      <c r="C7" s="269"/>
      <c r="D7" s="269"/>
      <c r="E7" s="269"/>
      <c r="F7" s="269"/>
      <c r="G7" s="269"/>
      <c r="H7" s="269"/>
      <c r="I7" s="269"/>
      <c r="J7" s="269"/>
      <c r="K7" s="269"/>
      <c r="L7" s="270"/>
    </row>
    <row r="8" spans="1:12">
      <c r="A8" s="266" t="s">
        <v>824</v>
      </c>
      <c r="B8" s="267">
        <v>1.4</v>
      </c>
      <c r="C8" s="267">
        <v>1.4</v>
      </c>
      <c r="D8" s="267">
        <v>1.4</v>
      </c>
      <c r="E8" s="267">
        <v>1.3</v>
      </c>
      <c r="F8" s="267">
        <v>1.3</v>
      </c>
      <c r="G8" s="267">
        <v>1.5</v>
      </c>
      <c r="H8" s="267">
        <v>1.2</v>
      </c>
      <c r="I8" s="267">
        <v>1.4</v>
      </c>
      <c r="J8" s="267">
        <v>1.2</v>
      </c>
      <c r="K8" s="267" t="s">
        <v>712</v>
      </c>
      <c r="L8" s="267"/>
    </row>
    <row r="9" spans="1:12">
      <c r="A9" s="282" t="s">
        <v>863</v>
      </c>
      <c r="B9" s="267">
        <v>74</v>
      </c>
      <c r="C9" s="267">
        <v>74</v>
      </c>
      <c r="D9" s="267">
        <v>74</v>
      </c>
      <c r="E9" s="267">
        <v>74</v>
      </c>
      <c r="F9" s="267">
        <v>74</v>
      </c>
      <c r="G9" s="267">
        <v>65</v>
      </c>
      <c r="H9" s="267">
        <v>80</v>
      </c>
      <c r="I9" s="267">
        <v>74</v>
      </c>
      <c r="J9" s="267">
        <v>80</v>
      </c>
      <c r="K9" s="267"/>
      <c r="L9" s="267">
        <v>1</v>
      </c>
    </row>
    <row r="10" spans="1:12">
      <c r="A10" s="266" t="s">
        <v>862</v>
      </c>
      <c r="B10" s="267">
        <v>2.7</v>
      </c>
      <c r="C10" s="267">
        <v>2.7</v>
      </c>
      <c r="D10" s="267">
        <v>2.7</v>
      </c>
      <c r="E10" s="267">
        <v>2.7</v>
      </c>
      <c r="F10" s="267">
        <v>2.7</v>
      </c>
      <c r="G10" s="267">
        <v>2.5</v>
      </c>
      <c r="H10" s="267">
        <v>6</v>
      </c>
      <c r="I10" s="267">
        <v>2.5</v>
      </c>
      <c r="J10" s="267">
        <v>6</v>
      </c>
      <c r="K10" s="267"/>
      <c r="L10" s="267">
        <v>1</v>
      </c>
    </row>
    <row r="11" spans="1:12">
      <c r="A11" s="273" t="s">
        <v>713</v>
      </c>
      <c r="B11" s="267">
        <v>0</v>
      </c>
      <c r="C11" s="267">
        <v>0</v>
      </c>
      <c r="D11" s="267">
        <v>0</v>
      </c>
      <c r="E11" s="267">
        <v>0</v>
      </c>
      <c r="F11" s="267">
        <v>0</v>
      </c>
      <c r="G11" s="267">
        <v>0</v>
      </c>
      <c r="H11" s="267">
        <v>0</v>
      </c>
      <c r="I11" s="267">
        <v>0</v>
      </c>
      <c r="J11" s="267">
        <v>0</v>
      </c>
      <c r="K11" s="267"/>
      <c r="L11" s="267"/>
    </row>
    <row r="12" spans="1:12">
      <c r="A12" s="276" t="s">
        <v>717</v>
      </c>
      <c r="B12" s="267">
        <v>0</v>
      </c>
      <c r="C12" s="267">
        <v>0</v>
      </c>
      <c r="D12" s="267">
        <v>0</v>
      </c>
      <c r="E12" s="267">
        <v>0</v>
      </c>
      <c r="F12" s="267">
        <v>0</v>
      </c>
      <c r="G12" s="267">
        <v>0</v>
      </c>
      <c r="H12" s="267">
        <v>0</v>
      </c>
      <c r="I12" s="267">
        <v>0</v>
      </c>
      <c r="J12" s="267">
        <v>0</v>
      </c>
      <c r="K12" s="267" t="s">
        <v>714</v>
      </c>
      <c r="L12" s="267"/>
    </row>
    <row r="13" spans="1:12">
      <c r="A13" s="329" t="s">
        <v>861</v>
      </c>
      <c r="B13" s="267">
        <v>0.38</v>
      </c>
      <c r="C13" s="267">
        <v>0.38</v>
      </c>
      <c r="D13" s="267">
        <v>0.38</v>
      </c>
      <c r="E13" s="267">
        <v>0.36</v>
      </c>
      <c r="F13" s="267">
        <v>0.36</v>
      </c>
      <c r="G13" s="267">
        <v>0.41</v>
      </c>
      <c r="H13" s="267">
        <v>0.36</v>
      </c>
      <c r="I13" s="267">
        <v>0.38</v>
      </c>
      <c r="J13" s="267">
        <v>0.35</v>
      </c>
      <c r="K13" s="267"/>
      <c r="L13" s="267"/>
    </row>
    <row r="14" spans="1:12">
      <c r="A14" s="278" t="s">
        <v>720</v>
      </c>
      <c r="B14" s="269"/>
      <c r="C14" s="269"/>
      <c r="D14" s="269"/>
      <c r="E14" s="269"/>
      <c r="F14" s="269"/>
      <c r="G14" s="269"/>
      <c r="H14" s="269"/>
      <c r="I14" s="269"/>
      <c r="J14" s="269"/>
      <c r="K14" s="269"/>
      <c r="L14" s="270"/>
    </row>
    <row r="15" spans="1:12">
      <c r="A15" s="281" t="s">
        <v>721</v>
      </c>
      <c r="B15" s="271">
        <f>B9</f>
        <v>74</v>
      </c>
      <c r="C15" s="271">
        <f>C9</f>
        <v>74</v>
      </c>
      <c r="D15" s="271">
        <f>D9</f>
        <v>74</v>
      </c>
      <c r="E15" s="271">
        <f>E9</f>
        <v>74</v>
      </c>
      <c r="F15" s="271">
        <f>F9</f>
        <v>74</v>
      </c>
      <c r="G15" s="272">
        <v>65</v>
      </c>
      <c r="H15" s="272">
        <v>80</v>
      </c>
      <c r="I15" s="272">
        <v>74</v>
      </c>
      <c r="J15" s="272">
        <v>85</v>
      </c>
      <c r="K15" s="272"/>
      <c r="L15" s="272"/>
    </row>
    <row r="16" spans="1:12">
      <c r="A16" s="281" t="s">
        <v>723</v>
      </c>
      <c r="B16" s="271">
        <v>100</v>
      </c>
      <c r="C16" s="271">
        <v>100</v>
      </c>
      <c r="D16" s="271">
        <v>100</v>
      </c>
      <c r="E16" s="271">
        <v>100</v>
      </c>
      <c r="F16" s="271">
        <v>100</v>
      </c>
      <c r="G16" s="271">
        <v>100</v>
      </c>
      <c r="H16" s="271">
        <v>100</v>
      </c>
      <c r="I16" s="271">
        <v>100</v>
      </c>
      <c r="J16" s="271">
        <v>100</v>
      </c>
      <c r="K16" s="272"/>
      <c r="L16" s="272"/>
    </row>
    <row r="17" spans="1:12">
      <c r="A17" s="266" t="s">
        <v>820</v>
      </c>
      <c r="B17" s="271">
        <v>90</v>
      </c>
      <c r="C17" s="271">
        <v>90</v>
      </c>
      <c r="D17" s="272">
        <v>90</v>
      </c>
      <c r="E17" s="272">
        <v>95</v>
      </c>
      <c r="F17" s="272">
        <v>95</v>
      </c>
      <c r="G17" s="272">
        <v>85</v>
      </c>
      <c r="H17" s="272">
        <v>95</v>
      </c>
      <c r="I17" s="272">
        <v>90</v>
      </c>
      <c r="J17" s="272">
        <v>99</v>
      </c>
      <c r="K17" s="272" t="s">
        <v>718</v>
      </c>
      <c r="L17" s="272">
        <v>1</v>
      </c>
    </row>
    <row r="18" spans="1:12">
      <c r="A18" s="266" t="s">
        <v>724</v>
      </c>
      <c r="B18" s="271">
        <v>0.06</v>
      </c>
      <c r="C18" s="271">
        <v>0.06</v>
      </c>
      <c r="D18" s="271">
        <v>0.06</v>
      </c>
      <c r="E18" s="271">
        <v>0.06</v>
      </c>
      <c r="F18" s="271">
        <v>0.06</v>
      </c>
      <c r="G18" s="272">
        <v>0.05</v>
      </c>
      <c r="H18" s="272">
        <v>0.1</v>
      </c>
      <c r="I18" s="272">
        <v>0.05</v>
      </c>
      <c r="J18" s="272">
        <v>0.1</v>
      </c>
      <c r="K18" s="272" t="s">
        <v>722</v>
      </c>
      <c r="L18" s="272"/>
    </row>
    <row r="19" spans="1:12">
      <c r="A19" s="266" t="s">
        <v>860</v>
      </c>
      <c r="B19" s="267"/>
      <c r="C19" s="267"/>
      <c r="D19" s="267"/>
      <c r="E19" s="267"/>
      <c r="F19" s="267"/>
      <c r="G19" s="267"/>
      <c r="H19" s="267"/>
      <c r="I19" s="267"/>
      <c r="J19" s="267"/>
      <c r="K19" s="267"/>
      <c r="L19" s="267"/>
    </row>
    <row r="20" spans="1:12">
      <c r="A20" s="282" t="s">
        <v>859</v>
      </c>
      <c r="B20" s="267"/>
      <c r="C20" s="267"/>
      <c r="D20" s="267"/>
      <c r="E20" s="267"/>
      <c r="F20" s="267"/>
      <c r="G20" s="267"/>
      <c r="H20" s="267"/>
      <c r="I20" s="267"/>
      <c r="J20" s="267"/>
      <c r="K20" s="267"/>
      <c r="L20" s="267"/>
    </row>
    <row r="21" spans="1:12">
      <c r="A21" s="278" t="s">
        <v>731</v>
      </c>
      <c r="B21" s="271"/>
      <c r="C21" s="271"/>
      <c r="D21" s="272"/>
      <c r="E21" s="272"/>
      <c r="F21" s="272"/>
      <c r="G21" s="272"/>
      <c r="H21" s="272"/>
      <c r="I21" s="272"/>
      <c r="J21" s="272"/>
      <c r="K21" s="272"/>
      <c r="L21" s="272"/>
    </row>
    <row r="22" spans="1:12">
      <c r="A22" s="266" t="s">
        <v>732</v>
      </c>
      <c r="B22" s="334">
        <v>0.05</v>
      </c>
      <c r="C22" s="334">
        <v>0.05</v>
      </c>
      <c r="D22" s="333">
        <v>0.04</v>
      </c>
      <c r="E22" s="333">
        <v>0.03</v>
      </c>
      <c r="F22" s="333">
        <v>0.03</v>
      </c>
      <c r="G22" s="333">
        <v>0.03</v>
      </c>
      <c r="H22" s="333">
        <v>0.05</v>
      </c>
      <c r="I22" s="333">
        <v>0.03</v>
      </c>
      <c r="J22" s="333">
        <v>0.05</v>
      </c>
      <c r="K22" s="267"/>
      <c r="L22" s="267"/>
    </row>
    <row r="23" spans="1:12">
      <c r="A23" s="266" t="s">
        <v>734</v>
      </c>
      <c r="B23" s="274">
        <v>3</v>
      </c>
      <c r="C23" s="274">
        <v>3</v>
      </c>
      <c r="D23" s="267">
        <v>3</v>
      </c>
      <c r="E23" s="267">
        <v>2</v>
      </c>
      <c r="F23" s="267">
        <v>2</v>
      </c>
      <c r="G23" s="267">
        <v>2</v>
      </c>
      <c r="H23" s="267">
        <v>4</v>
      </c>
      <c r="I23" s="267">
        <v>2</v>
      </c>
      <c r="J23" s="267">
        <v>3</v>
      </c>
      <c r="K23" s="267"/>
      <c r="L23" s="267"/>
    </row>
    <row r="24" spans="1:12">
      <c r="A24" s="266" t="s">
        <v>735</v>
      </c>
      <c r="B24" s="267">
        <v>25</v>
      </c>
      <c r="C24" s="267">
        <v>25</v>
      </c>
      <c r="D24" s="267">
        <v>25</v>
      </c>
      <c r="E24" s="267">
        <v>25</v>
      </c>
      <c r="F24" s="267">
        <v>25</v>
      </c>
      <c r="G24" s="267">
        <v>25</v>
      </c>
      <c r="H24" s="267">
        <v>25</v>
      </c>
      <c r="I24" s="267">
        <v>25</v>
      </c>
      <c r="J24" s="267">
        <v>25</v>
      </c>
      <c r="K24" s="267"/>
      <c r="L24" s="267"/>
    </row>
    <row r="25" spans="1:12">
      <c r="A25" s="266"/>
      <c r="B25" s="267"/>
      <c r="C25" s="267"/>
      <c r="D25" s="267"/>
      <c r="E25" s="267"/>
      <c r="F25" s="267"/>
      <c r="G25" s="267"/>
      <c r="H25" s="267"/>
      <c r="I25" s="267"/>
      <c r="J25" s="267"/>
      <c r="K25" s="267"/>
      <c r="L25" s="267"/>
    </row>
    <row r="26" spans="1:12" ht="14.7" customHeight="1">
      <c r="A26" s="265" t="s">
        <v>739</v>
      </c>
      <c r="B26" s="279"/>
      <c r="C26" s="279"/>
      <c r="D26" s="279"/>
      <c r="E26" s="279"/>
      <c r="F26" s="279"/>
      <c r="G26" s="279"/>
      <c r="H26" s="279"/>
      <c r="I26" s="279"/>
      <c r="J26" s="342"/>
      <c r="K26" s="279"/>
      <c r="L26" s="280"/>
    </row>
    <row r="27" spans="1:12">
      <c r="A27" s="266" t="s">
        <v>740</v>
      </c>
      <c r="B27" s="272">
        <v>1.2</v>
      </c>
      <c r="C27" s="272">
        <v>1.2</v>
      </c>
      <c r="D27" s="288">
        <v>1.1499999999999999</v>
      </c>
      <c r="E27" s="288">
        <v>1.05</v>
      </c>
      <c r="F27" s="332">
        <v>1</v>
      </c>
      <c r="G27" s="332">
        <v>1</v>
      </c>
      <c r="H27" s="272">
        <v>1.8</v>
      </c>
      <c r="I27" s="272">
        <v>0.8</v>
      </c>
      <c r="J27" s="284">
        <v>1.4</v>
      </c>
      <c r="K27" s="272" t="s">
        <v>725</v>
      </c>
      <c r="L27" s="272"/>
    </row>
    <row r="28" spans="1:12">
      <c r="A28" s="282" t="s">
        <v>742</v>
      </c>
      <c r="B28" s="267"/>
      <c r="C28" s="267"/>
      <c r="D28" s="267"/>
      <c r="E28" s="267"/>
      <c r="F28" s="282"/>
      <c r="G28" s="267"/>
      <c r="H28" s="267"/>
      <c r="I28" s="267"/>
      <c r="J28" s="290"/>
      <c r="K28" s="272"/>
      <c r="L28" s="267"/>
    </row>
    <row r="29" spans="1:12">
      <c r="A29" s="266" t="s">
        <v>743</v>
      </c>
      <c r="B29" s="267"/>
      <c r="C29" s="267"/>
      <c r="D29" s="267"/>
      <c r="E29" s="267"/>
      <c r="F29" s="266"/>
      <c r="G29" s="267"/>
      <c r="H29" s="267"/>
      <c r="I29" s="267"/>
      <c r="J29" s="267"/>
      <c r="K29" s="272"/>
      <c r="L29" s="267"/>
    </row>
    <row r="30" spans="1:12">
      <c r="A30" s="287" t="s">
        <v>813</v>
      </c>
      <c r="B30" s="331">
        <f t="shared" ref="B30:J30" si="0">B27*0.03</f>
        <v>3.5999999999999997E-2</v>
      </c>
      <c r="C30" s="331">
        <f t="shared" si="0"/>
        <v>3.5999999999999997E-2</v>
      </c>
      <c r="D30" s="331">
        <f t="shared" si="0"/>
        <v>3.4499999999999996E-2</v>
      </c>
      <c r="E30" s="331">
        <f t="shared" si="0"/>
        <v>3.15E-2</v>
      </c>
      <c r="F30" s="331">
        <f t="shared" si="0"/>
        <v>0.03</v>
      </c>
      <c r="G30" s="331">
        <f t="shared" si="0"/>
        <v>0.03</v>
      </c>
      <c r="H30" s="331">
        <f t="shared" si="0"/>
        <v>5.3999999999999999E-2</v>
      </c>
      <c r="I30" s="331">
        <f t="shared" si="0"/>
        <v>2.4E-2</v>
      </c>
      <c r="J30" s="331">
        <f t="shared" si="0"/>
        <v>4.1999999999999996E-2</v>
      </c>
      <c r="K30" s="272" t="s">
        <v>727</v>
      </c>
      <c r="L30" s="272"/>
    </row>
    <row r="31" spans="1:12">
      <c r="A31" s="282" t="s">
        <v>858</v>
      </c>
      <c r="B31" s="272">
        <v>2</v>
      </c>
      <c r="C31" s="272">
        <v>2</v>
      </c>
      <c r="D31" s="272">
        <v>2</v>
      </c>
      <c r="E31" s="272">
        <v>2</v>
      </c>
      <c r="F31" s="272">
        <v>2</v>
      </c>
      <c r="G31" s="272">
        <v>2</v>
      </c>
      <c r="H31" s="272">
        <v>2</v>
      </c>
      <c r="I31" s="272">
        <v>2</v>
      </c>
      <c r="J31" s="272">
        <v>2</v>
      </c>
      <c r="K31" s="272" t="s">
        <v>729</v>
      </c>
      <c r="L31" s="272"/>
    </row>
    <row r="32" spans="1:12">
      <c r="A32" s="281" t="s">
        <v>748</v>
      </c>
      <c r="B32" s="272">
        <v>30</v>
      </c>
      <c r="C32" s="272">
        <v>30</v>
      </c>
      <c r="D32" s="272">
        <v>30</v>
      </c>
      <c r="E32" s="272">
        <v>30</v>
      </c>
      <c r="F32" s="272">
        <v>30</v>
      </c>
      <c r="G32" s="272">
        <v>30</v>
      </c>
      <c r="H32" s="272">
        <v>30</v>
      </c>
      <c r="I32" s="272">
        <v>30</v>
      </c>
      <c r="J32" s="272">
        <v>30</v>
      </c>
      <c r="K32" s="272" t="s">
        <v>733</v>
      </c>
      <c r="L32" s="272"/>
    </row>
    <row r="33" spans="1:12">
      <c r="A33" s="341"/>
      <c r="B33" s="272"/>
      <c r="C33" s="272"/>
      <c r="D33" s="272"/>
      <c r="E33" s="272"/>
      <c r="F33" s="284"/>
      <c r="G33" s="272"/>
      <c r="H33" s="272"/>
      <c r="I33" s="272"/>
      <c r="J33" s="284"/>
      <c r="K33" s="272"/>
      <c r="L33" s="272"/>
    </row>
    <row r="34" spans="1:12">
      <c r="A34" s="265" t="s">
        <v>749</v>
      </c>
      <c r="B34" s="267"/>
      <c r="C34" s="267"/>
      <c r="D34" s="267"/>
      <c r="E34" s="267"/>
      <c r="F34" s="282"/>
      <c r="G34" s="267"/>
      <c r="H34" s="267"/>
      <c r="I34" s="267"/>
      <c r="J34" s="290"/>
      <c r="K34" s="272"/>
      <c r="L34" s="267"/>
    </row>
    <row r="35" spans="1:12">
      <c r="A35" s="266" t="s">
        <v>857</v>
      </c>
      <c r="B35" s="267">
        <v>0.3</v>
      </c>
      <c r="C35" s="267">
        <v>0.3</v>
      </c>
      <c r="D35" s="267">
        <v>0.28000000000000003</v>
      </c>
      <c r="E35" s="267">
        <v>0.26</v>
      </c>
      <c r="F35" s="267">
        <v>0.24</v>
      </c>
      <c r="G35" s="267">
        <v>0.25</v>
      </c>
      <c r="H35" s="267">
        <v>0.35</v>
      </c>
      <c r="I35" s="267">
        <v>0.22</v>
      </c>
      <c r="J35" s="290">
        <v>0.3</v>
      </c>
      <c r="K35" s="272" t="s">
        <v>736</v>
      </c>
      <c r="L35" s="267"/>
    </row>
    <row r="36" spans="1:12">
      <c r="A36" s="281" t="s">
        <v>856</v>
      </c>
      <c r="B36" s="267">
        <v>8.5999999999999993E-2</v>
      </c>
      <c r="C36" s="267">
        <v>8.5999999999999993E-2</v>
      </c>
      <c r="D36" s="267">
        <v>0.08</v>
      </c>
      <c r="E36" s="267">
        <v>7.4999999999999997E-2</v>
      </c>
      <c r="F36" s="267">
        <v>0.7</v>
      </c>
      <c r="G36" s="267">
        <v>0.08</v>
      </c>
      <c r="H36" s="267">
        <v>0.09</v>
      </c>
      <c r="I36" s="267">
        <v>0.6</v>
      </c>
      <c r="J36" s="267">
        <v>0.08</v>
      </c>
      <c r="K36" s="272"/>
      <c r="L36" s="283"/>
    </row>
    <row r="37" spans="1:12">
      <c r="A37" s="329" t="s">
        <v>855</v>
      </c>
      <c r="B37" s="284">
        <v>0.18</v>
      </c>
      <c r="C37" s="284">
        <v>0.18</v>
      </c>
      <c r="D37" s="284">
        <v>0.17</v>
      </c>
      <c r="E37" s="284">
        <v>0.16</v>
      </c>
      <c r="F37" s="284">
        <v>0.15</v>
      </c>
      <c r="G37" s="267">
        <v>0.16</v>
      </c>
      <c r="H37" s="267">
        <v>0.2</v>
      </c>
      <c r="I37" s="267">
        <v>0.12</v>
      </c>
      <c r="J37" s="267">
        <v>0.18</v>
      </c>
      <c r="K37" s="272"/>
      <c r="L37" s="267"/>
    </row>
    <row r="38" spans="1:12">
      <c r="A38" s="281" t="s">
        <v>854</v>
      </c>
      <c r="B38" s="267">
        <v>0.3</v>
      </c>
      <c r="C38" s="267">
        <v>0.3</v>
      </c>
      <c r="D38" s="267">
        <v>0.28999999999999998</v>
      </c>
      <c r="E38" s="267">
        <v>0.27</v>
      </c>
      <c r="F38" s="267">
        <v>0.25</v>
      </c>
      <c r="G38" s="267">
        <v>0.25</v>
      </c>
      <c r="H38" s="267">
        <v>0.35</v>
      </c>
      <c r="I38" s="267">
        <v>0.2</v>
      </c>
      <c r="J38" s="267">
        <v>0.3</v>
      </c>
      <c r="K38" s="267"/>
      <c r="L38" s="267"/>
    </row>
    <row r="39" spans="1:12">
      <c r="A39" s="291"/>
    </row>
    <row r="40" spans="1:12">
      <c r="A40" s="292" t="s">
        <v>754</v>
      </c>
    </row>
    <row r="41" spans="1:12">
      <c r="A41" s="254">
        <v>1</v>
      </c>
      <c r="B41" s="254" t="s">
        <v>874</v>
      </c>
    </row>
    <row r="42" spans="1:12">
      <c r="A42" s="254">
        <v>2</v>
      </c>
    </row>
    <row r="43" spans="1:12">
      <c r="A43" s="254">
        <v>3</v>
      </c>
    </row>
    <row r="46" spans="1:12">
      <c r="A46" s="293" t="s">
        <v>759</v>
      </c>
    </row>
    <row r="47" spans="1:12">
      <c r="A47" s="294" t="s">
        <v>709</v>
      </c>
      <c r="B47" s="254" t="s">
        <v>873</v>
      </c>
    </row>
    <row r="48" spans="1:12">
      <c r="A48" s="294" t="s">
        <v>712</v>
      </c>
      <c r="B48" s="254" t="s">
        <v>872</v>
      </c>
    </row>
    <row r="49" spans="1:2">
      <c r="A49" s="294" t="s">
        <v>714</v>
      </c>
      <c r="B49" s="254" t="s">
        <v>851</v>
      </c>
    </row>
    <row r="50" spans="1:2">
      <c r="A50" s="294" t="s">
        <v>718</v>
      </c>
      <c r="B50" s="254" t="s">
        <v>871</v>
      </c>
    </row>
    <row r="51" spans="1:2">
      <c r="A51" s="294" t="s">
        <v>722</v>
      </c>
      <c r="B51" s="254" t="s">
        <v>870</v>
      </c>
    </row>
    <row r="52" spans="1:2">
      <c r="A52" s="294" t="s">
        <v>725</v>
      </c>
      <c r="B52" s="254" t="s">
        <v>869</v>
      </c>
    </row>
    <row r="53" spans="1:2">
      <c r="A53" s="294" t="s">
        <v>727</v>
      </c>
      <c r="B53" s="254" t="s">
        <v>846</v>
      </c>
    </row>
    <row r="54" spans="1:2">
      <c r="A54" s="294" t="s">
        <v>729</v>
      </c>
      <c r="B54" s="254" t="s">
        <v>868</v>
      </c>
    </row>
    <row r="55" spans="1:2">
      <c r="A55" s="294" t="s">
        <v>733</v>
      </c>
      <c r="B55" s="254" t="s">
        <v>867</v>
      </c>
    </row>
    <row r="56" spans="1:2">
      <c r="A56" s="294" t="s">
        <v>736</v>
      </c>
      <c r="B56" s="254" t="s">
        <v>866</v>
      </c>
    </row>
  </sheetData>
  <mergeCells count="3">
    <mergeCell ref="B2:L2"/>
    <mergeCell ref="G3:H3"/>
    <mergeCell ref="I3:J3"/>
  </mergeCells>
  <hyperlinks>
    <hyperlink ref="B2" location="INDEX" display="Oxy-fuel carbon caputre - Retrofit 3000 ton clinker per day cement kiln excluding ASU" xr:uid="{BD4B2B7D-39F7-4BFD-8B13-20C5EB0BF98F}"/>
  </hyperlink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6</vt:i4>
      </vt:variant>
    </vt:vector>
  </HeadingPairs>
  <TitlesOfParts>
    <vt:vector size="29" baseType="lpstr">
      <vt:lpstr>LOG</vt:lpstr>
      <vt:lpstr>Intro</vt:lpstr>
      <vt:lpstr>ELC_CCS_Comm</vt:lpstr>
      <vt:lpstr>ELC_CCS_Processes</vt:lpstr>
      <vt:lpstr>SUP_FT_Process</vt:lpstr>
      <vt:lpstr>SUP_DAC</vt:lpstr>
      <vt:lpstr>SUP_DAC2</vt:lpstr>
      <vt:lpstr>ELC_CCS_N_CAP</vt:lpstr>
      <vt:lpstr>IND_CCS</vt:lpstr>
      <vt:lpstr>IND_CCS_N_CAP</vt:lpstr>
      <vt:lpstr>ELC_CCS_TRA</vt:lpstr>
      <vt:lpstr>ELC_CCS_STO</vt:lpstr>
      <vt:lpstr>Emis</vt:lpstr>
      <vt:lpstr>Naming convention</vt:lpstr>
      <vt:lpstr>Adv fossil</vt:lpstr>
      <vt:lpstr>CCS</vt:lpstr>
      <vt:lpstr>Data_Dist_&amp;_CAP</vt:lpstr>
      <vt:lpstr>403.a Direct air capture</vt:lpstr>
      <vt:lpstr>401.a Post comb - small CHP</vt:lpstr>
      <vt:lpstr>401.b Post comb - Large biomass</vt:lpstr>
      <vt:lpstr>401.c Post comb - Cement kiln</vt:lpstr>
      <vt:lpstr>402.a Oxy-fuel- Large Biomass</vt:lpstr>
      <vt:lpstr>402.b Oxy-fuel Cement</vt:lpstr>
      <vt:lpstr>sheet33</vt:lpstr>
      <vt:lpstr>sheet34</vt:lpstr>
      <vt:lpstr>sheet35</vt:lpstr>
      <vt:lpstr>sheet36</vt:lpstr>
      <vt:lpstr>sheet37</vt:lpstr>
      <vt:lpstr>sheet38</vt:lpstr>
    </vt:vector>
  </TitlesOfParts>
  <Company>Energistyrelsen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Kristoffer Steen Andersen</dc:creator>
  <cp:lastModifiedBy>Mikkel Bosack</cp:lastModifiedBy>
  <cp:lastPrinted>2016-04-06T08:02:55Z</cp:lastPrinted>
  <dcterms:created xsi:type="dcterms:W3CDTF">2013-04-04T12:59:05Z</dcterms:created>
  <dcterms:modified xsi:type="dcterms:W3CDTF">2021-04-22T07:19:02Z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25005519390106</vt:r8>
  </property>
</Properties>
</file>