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drawings/drawing1.xml" ContentType="application/vnd.openxmlformats-officedocument.drawing+xml"/>
  <Override PartName="/xl/comments8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TIMES models\TIMES-Nordic\SubRES_TMPL\"/>
    </mc:Choice>
  </mc:AlternateContent>
  <xr:revisionPtr revIDLastSave="0" documentId="13_ncr:1_{463EE72E-EFAB-4EF9-872D-8663BDD3F5EC}" xr6:coauthVersionLast="46" xr6:coauthVersionMax="46" xr10:uidLastSave="{00000000-0000-0000-0000-000000000000}"/>
  <bookViews>
    <workbookView xWindow="18780" yWindow="588" windowWidth="20676" windowHeight="16092" tabRatio="733" activeTab="7" xr2:uid="{00000000-000D-0000-FFFF-FFFF00000000}"/>
  </bookViews>
  <sheets>
    <sheet name="LOG" sheetId="11" r:id="rId1"/>
    <sheet name="Intro" sheetId="16" r:id="rId2"/>
    <sheet name="ELC_Comm" sheetId="12" r:id="rId3"/>
    <sheet name="ELC_Processes_CEN" sheetId="13" r:id="rId4"/>
    <sheet name="ELC_Processes_DEC" sheetId="17" r:id="rId5"/>
    <sheet name="ELC_Industry" sheetId="19" r:id="rId6"/>
    <sheet name="ELC_house" sheetId="18" r:id="rId7"/>
    <sheet name="ELC_CEN" sheetId="2" r:id="rId8"/>
    <sheet name="ELC_DEC" sheetId="5" r:id="rId9"/>
    <sheet name="ELC_CEN-Peak" sheetId="14" r:id="rId10"/>
    <sheet name="ELC_DEC-Peak" sheetId="15" r:id="rId11"/>
    <sheet name="Naming convention" sheetId="7" r:id="rId12"/>
    <sheet name="Deleted Technologies" sheetId="6" r:id="rId13"/>
    <sheet name="FuelPriceRAMSES" sheetId="8" r:id="rId14"/>
  </sheets>
  <externalReferences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xlnm._FilterDatabase" localSheetId="7" hidden="1">ELC_CEN!$A$14:$BI$160</definedName>
    <definedName name="_xlnm._FilterDatabase" localSheetId="9" hidden="1">'ELC_CEN-Peak'!$A$15:$AN$23</definedName>
    <definedName name="_xlnm._FilterDatabase" localSheetId="8" hidden="1">ELC_DEC!$A$13:$AQ$101</definedName>
    <definedName name="_xlnm._FilterDatabase" localSheetId="10" hidden="1">'ELC_DEC-Peak'!$A$14:$Z$22</definedName>
    <definedName name="_Order1" hidden="1">255</definedName>
    <definedName name="_Order2" hidden="1">255</definedName>
    <definedName name="BiomassLargeCHP">[1]TechnologyData!$A$14:$M$41</definedName>
    <definedName name="BPslut">[1]Plants!$J$2</definedName>
    <definedName name="E_waste" localSheetId="8">#REF!</definedName>
    <definedName name="E_waste" localSheetId="10">#REF!</definedName>
    <definedName name="E_waste" localSheetId="4">#REF!</definedName>
    <definedName name="E_waste">#REF!</definedName>
    <definedName name="Eksportstigning">[1]Plants!$J$6</definedName>
    <definedName name="ElBoiler">[1]TechnologyData!$O$72:$AA$99</definedName>
    <definedName name="ElPriceMix" localSheetId="4">[1]Subsidy!#REF!</definedName>
    <definedName name="ElPriceMix">[1]Subsidy!#REF!</definedName>
    <definedName name="euro" localSheetId="8">#REF!</definedName>
    <definedName name="euro" localSheetId="10">#REF!</definedName>
    <definedName name="Euro" localSheetId="6">ELC_house!$E$2</definedName>
    <definedName name="Euro" localSheetId="5">ELC_Industry!$E$2</definedName>
    <definedName name="Euro">ELC_CEN!$E$2</definedName>
    <definedName name="Fastprisår">[2]Forside!$B$5</definedName>
    <definedName name="FID_1">[3]AGR_Fuels!$A$2</definedName>
    <definedName name="FIXWINOFF">'[4]O&amp;M waste and WIN '!$K$13</definedName>
    <definedName name="FIXWINON">'[4]O&amp;M waste and WIN '!$K$14</definedName>
    <definedName name="FIXWSTBO">'[5]O&amp;M waste and WIN '!$E$5</definedName>
    <definedName name="FIXWSTBP" localSheetId="6">'[6]O&amp;M waste '!$C$4</definedName>
    <definedName name="FIXWSTBP" localSheetId="5">'[6]O&amp;M waste '!$C$4</definedName>
    <definedName name="FIXWSTBP">#REF!</definedName>
    <definedName name="fuelp" localSheetId="13">FuelPriceRAMSES!#REF!</definedName>
    <definedName name="FuelPrices">FuelPriceRAMSES!$A$9:$M$58</definedName>
    <definedName name="HeatPump_Large">[1]TechnologyData!$O$101:$AA$128</definedName>
    <definedName name="Inflation" localSheetId="4">[1]General!#REF!</definedName>
    <definedName name="Inflation">[1]General!#REF!</definedName>
    <definedName name="LastPSOYear">[1]Plants!$H$2</definedName>
    <definedName name="MWhGJ" localSheetId="8">#REF!</definedName>
    <definedName name="MWhGJ" localSheetId="10">#REF!</definedName>
    <definedName name="MWhGJ" localSheetId="4">#REF!</definedName>
    <definedName name="MWhGJ">#REF!</definedName>
    <definedName name="Nettarif">[1]TechnologyData!$F$11</definedName>
    <definedName name="NGCC_SmallBP">[1]TechnologyData!$A$72:$M$99</definedName>
    <definedName name="nhydro" localSheetId="4">[1]General!#REF!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>FuelPriceRAMSES!$D$5</definedName>
    <definedName name="Real_interest_rate">[7]TechnologyData!$B$37</definedName>
    <definedName name="RefurbishedCoalBioCHP">[1]TechnologyData!$A$43:$M$70</definedName>
    <definedName name="RenovCKV">[1]Plants!$J$4</definedName>
    <definedName name="result" localSheetId="13">FuelPriceRAMSES!$AG$29</definedName>
    <definedName name="VARWINOFF">'[4]O&amp;M waste and WIN '!$L$13</definedName>
    <definedName name="VARWINON">'[4]O&amp;M waste and WIN '!$L$14</definedName>
    <definedName name="VARWSTBO" localSheetId="6">'[6]O&amp;M waste '!$D$5</definedName>
    <definedName name="VARWSTBO" localSheetId="5">'[6]O&amp;M waste '!$D$5</definedName>
    <definedName name="VARWSTBO">#REF!</definedName>
    <definedName name="VARWSTBP" localSheetId="6">'[6]O&amp;M waste '!$D$4</definedName>
    <definedName name="VARWSTBP" localSheetId="5">'[6]O&amp;M waste '!$D$4</definedName>
    <definedName name="VARWSTBP">#REF!</definedName>
    <definedName name="WasteCHP">[1]TechnologyData!$A$101:$M$129</definedName>
    <definedName name="Wood_SmallBP">[1]TechnologyData!$A$131:$M$158</definedName>
  </definedName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110" i="2" l="1"/>
  <c r="Q112" i="2"/>
  <c r="Q111" i="2"/>
  <c r="Q108" i="2"/>
  <c r="Q107" i="2"/>
  <c r="Q106" i="2"/>
  <c r="Q103" i="2"/>
  <c r="Q105" i="2"/>
  <c r="D4" i="11"/>
  <c r="A7" i="19"/>
  <c r="T7" i="19"/>
  <c r="U7" i="19"/>
  <c r="W7" i="19"/>
  <c r="AH7" i="19"/>
  <c r="T9" i="19"/>
  <c r="U9" i="19"/>
  <c r="W9" i="19"/>
  <c r="AH9" i="19"/>
  <c r="T10" i="19"/>
  <c r="U10" i="19"/>
  <c r="W10" i="19"/>
  <c r="AH10" i="19"/>
  <c r="T11" i="19"/>
  <c r="U11" i="19"/>
  <c r="W11" i="19"/>
  <c r="AH11" i="19"/>
  <c r="A7" i="18"/>
  <c r="T7" i="18"/>
  <c r="U7" i="18"/>
  <c r="W7" i="18"/>
  <c r="AH7" i="18"/>
  <c r="T10" i="18"/>
  <c r="U10" i="18"/>
  <c r="W10" i="18"/>
  <c r="AH10" i="18"/>
  <c r="T11" i="18"/>
  <c r="U11" i="18"/>
  <c r="W11" i="18"/>
  <c r="AH11" i="18"/>
  <c r="T12" i="18"/>
  <c r="U12" i="18"/>
  <c r="W12" i="18"/>
  <c r="AH12" i="18"/>
  <c r="T160" i="2"/>
  <c r="T159" i="2"/>
  <c r="T100" i="5"/>
  <c r="T158" i="2"/>
  <c r="AS158" i="2"/>
  <c r="T157" i="2"/>
  <c r="D29" i="13"/>
  <c r="C29" i="13"/>
  <c r="C28" i="13"/>
  <c r="D28" i="13"/>
  <c r="AT112" i="2"/>
  <c r="V112" i="2"/>
  <c r="AW112" i="2"/>
  <c r="U112" i="2"/>
  <c r="AV112" i="2"/>
  <c r="T112" i="2"/>
  <c r="AS112" i="2"/>
  <c r="AU112" i="2"/>
  <c r="K112" i="2"/>
  <c r="BA112" i="2"/>
  <c r="AT111" i="2"/>
  <c r="V111" i="2"/>
  <c r="AW111" i="2"/>
  <c r="U111" i="2"/>
  <c r="AV111" i="2"/>
  <c r="T111" i="2"/>
  <c r="AS111" i="2"/>
  <c r="AU111" i="2"/>
  <c r="K111" i="2"/>
  <c r="AY111" i="2"/>
  <c r="BA111" i="2"/>
  <c r="AT110" i="2"/>
  <c r="V110" i="2"/>
  <c r="AW110" i="2"/>
  <c r="U110" i="2"/>
  <c r="AV110" i="2"/>
  <c r="T110" i="2"/>
  <c r="AS110" i="2"/>
  <c r="AU110" i="2"/>
  <c r="K110" i="2"/>
  <c r="BA110" i="2"/>
  <c r="AT108" i="2"/>
  <c r="V108" i="2"/>
  <c r="AW108" i="2"/>
  <c r="U108" i="2"/>
  <c r="AV108" i="2"/>
  <c r="T108" i="2"/>
  <c r="AS108" i="2"/>
  <c r="AU108" i="2"/>
  <c r="K108" i="2"/>
  <c r="BA108" i="2"/>
  <c r="AY110" i="2"/>
  <c r="AY112" i="2"/>
  <c r="AT103" i="2"/>
  <c r="AT105" i="2"/>
  <c r="AT106" i="2"/>
  <c r="AV106" i="2"/>
  <c r="AT107" i="2"/>
  <c r="U107" i="2"/>
  <c r="AV107" i="2"/>
  <c r="K107" i="2"/>
  <c r="AY107" i="2"/>
  <c r="K106" i="2"/>
  <c r="AY106" i="2"/>
  <c r="K105" i="2"/>
  <c r="AY105" i="2"/>
  <c r="K103" i="2"/>
  <c r="AY23" i="2"/>
  <c r="T106" i="2"/>
  <c r="AS106" i="2"/>
  <c r="U106" i="2"/>
  <c r="V106" i="2"/>
  <c r="AW106" i="2"/>
  <c r="T107" i="2"/>
  <c r="AS107" i="2"/>
  <c r="AU107" i="2"/>
  <c r="V107" i="2"/>
  <c r="AW107" i="2"/>
  <c r="V105" i="2"/>
  <c r="AW105" i="2"/>
  <c r="U105" i="2"/>
  <c r="T105" i="2"/>
  <c r="AS105" i="2"/>
  <c r="V103" i="2"/>
  <c r="AW103" i="2"/>
  <c r="U103" i="2"/>
  <c r="T103" i="2"/>
  <c r="AS103" i="2"/>
  <c r="AU103" i="2"/>
  <c r="Q54" i="2"/>
  <c r="O54" i="2"/>
  <c r="AV103" i="2"/>
  <c r="BA107" i="2"/>
  <c r="BA106" i="2"/>
  <c r="BA105" i="2"/>
  <c r="AY103" i="2"/>
  <c r="BA103" i="2"/>
  <c r="V164" i="2"/>
  <c r="V105" i="5"/>
  <c r="U164" i="2"/>
  <c r="U105" i="5"/>
  <c r="T164" i="2"/>
  <c r="V163" i="2"/>
  <c r="V104" i="5"/>
  <c r="U163" i="2"/>
  <c r="U104" i="5"/>
  <c r="T163" i="2"/>
  <c r="V162" i="2"/>
  <c r="V103" i="5"/>
  <c r="U162" i="2"/>
  <c r="T162" i="2"/>
  <c r="T103" i="5"/>
  <c r="V161" i="2"/>
  <c r="U161" i="2"/>
  <c r="T161" i="2"/>
  <c r="T102" i="5"/>
  <c r="AD164" i="2"/>
  <c r="AD163" i="2"/>
  <c r="AD162" i="2"/>
  <c r="AD161" i="2"/>
  <c r="T129" i="2"/>
  <c r="U129" i="2"/>
  <c r="U70" i="5"/>
  <c r="V129" i="2"/>
  <c r="T130" i="2"/>
  <c r="T71" i="5"/>
  <c r="U130" i="2"/>
  <c r="U71" i="5"/>
  <c r="V130" i="2"/>
  <c r="T131" i="2"/>
  <c r="AS131" i="2"/>
  <c r="U131" i="2"/>
  <c r="V131" i="2"/>
  <c r="V72" i="5"/>
  <c r="T132" i="2"/>
  <c r="AS132" i="2"/>
  <c r="U132" i="2"/>
  <c r="U73" i="5"/>
  <c r="V132" i="2"/>
  <c r="T133" i="2"/>
  <c r="U133" i="2"/>
  <c r="V133" i="2"/>
  <c r="AW133" i="2"/>
  <c r="T134" i="2"/>
  <c r="U134" i="2"/>
  <c r="U75" i="5"/>
  <c r="V134" i="2"/>
  <c r="T135" i="2"/>
  <c r="U135" i="2"/>
  <c r="V135" i="2"/>
  <c r="T136" i="2"/>
  <c r="T77" i="5"/>
  <c r="U136" i="2"/>
  <c r="V136" i="2"/>
  <c r="V77" i="5"/>
  <c r="T137" i="2"/>
  <c r="T78" i="5"/>
  <c r="U137" i="2"/>
  <c r="V137" i="2"/>
  <c r="T138" i="2"/>
  <c r="T79" i="5"/>
  <c r="U138" i="2"/>
  <c r="U79" i="5"/>
  <c r="V138" i="2"/>
  <c r="V79" i="5"/>
  <c r="T139" i="2"/>
  <c r="U139" i="2"/>
  <c r="U80" i="5"/>
  <c r="V139" i="2"/>
  <c r="V80" i="5"/>
  <c r="T140" i="2"/>
  <c r="T81" i="5"/>
  <c r="U140" i="2"/>
  <c r="U81" i="5"/>
  <c r="V140" i="2"/>
  <c r="V81" i="5"/>
  <c r="T75" i="2"/>
  <c r="AS75" i="2"/>
  <c r="U75" i="2"/>
  <c r="V75" i="2"/>
  <c r="AW75" i="2"/>
  <c r="T76" i="2"/>
  <c r="U76" i="2"/>
  <c r="V76" i="2"/>
  <c r="AW76" i="2"/>
  <c r="T77" i="2"/>
  <c r="AS77" i="2"/>
  <c r="U77" i="2"/>
  <c r="V77" i="2"/>
  <c r="AW77" i="2"/>
  <c r="T78" i="2"/>
  <c r="AS78" i="2"/>
  <c r="U78" i="2"/>
  <c r="V78" i="2"/>
  <c r="AW78" i="2"/>
  <c r="T79" i="2"/>
  <c r="U79" i="2"/>
  <c r="V79" i="2"/>
  <c r="T80" i="2"/>
  <c r="U80" i="2"/>
  <c r="V80" i="2"/>
  <c r="V51" i="5"/>
  <c r="T81" i="2"/>
  <c r="AS81" i="2"/>
  <c r="U81" i="2"/>
  <c r="U52" i="5"/>
  <c r="V81" i="2"/>
  <c r="T82" i="2"/>
  <c r="AS82" i="2"/>
  <c r="U82" i="2"/>
  <c r="V82" i="2"/>
  <c r="V53" i="5"/>
  <c r="T83" i="2"/>
  <c r="AS83" i="2"/>
  <c r="U83" i="2"/>
  <c r="V83" i="2"/>
  <c r="T84" i="2"/>
  <c r="U84" i="2"/>
  <c r="U55" i="5"/>
  <c r="V84" i="2"/>
  <c r="T85" i="2"/>
  <c r="U85" i="2"/>
  <c r="V85" i="2"/>
  <c r="V56" i="5"/>
  <c r="T86" i="2"/>
  <c r="U86" i="2"/>
  <c r="V86" i="2"/>
  <c r="C21" i="13"/>
  <c r="C18" i="13"/>
  <c r="AY78" i="2"/>
  <c r="Q78" i="2"/>
  <c r="O78" i="2"/>
  <c r="BA78" i="2"/>
  <c r="AY77" i="2"/>
  <c r="BA77" i="2"/>
  <c r="Q77" i="2"/>
  <c r="O77" i="2"/>
  <c r="AY76" i="2"/>
  <c r="AS76" i="2"/>
  <c r="Q76" i="2"/>
  <c r="O76" i="2"/>
  <c r="BA76" i="2"/>
  <c r="AY75" i="2"/>
  <c r="Q75" i="2"/>
  <c r="O75" i="2"/>
  <c r="BA75" i="2"/>
  <c r="AY71" i="2"/>
  <c r="T63" i="2"/>
  <c r="AS63" i="2"/>
  <c r="U63" i="2"/>
  <c r="V63" i="2"/>
  <c r="AW63" i="2"/>
  <c r="T64" i="2"/>
  <c r="AS64" i="2"/>
  <c r="U64" i="2"/>
  <c r="V64" i="2"/>
  <c r="AW64" i="2"/>
  <c r="T65" i="2"/>
  <c r="AS65" i="2"/>
  <c r="U65" i="2"/>
  <c r="V65" i="2"/>
  <c r="AW65" i="2"/>
  <c r="T66" i="2"/>
  <c r="U66" i="2"/>
  <c r="V66" i="2"/>
  <c r="AW66" i="2"/>
  <c r="T67" i="2"/>
  <c r="T42" i="5"/>
  <c r="U67" i="2"/>
  <c r="U42" i="5"/>
  <c r="V67" i="2"/>
  <c r="V42" i="5"/>
  <c r="T68" i="2"/>
  <c r="U68" i="2"/>
  <c r="V68" i="2"/>
  <c r="V43" i="5"/>
  <c r="T69" i="2"/>
  <c r="AS69" i="2"/>
  <c r="U69" i="2"/>
  <c r="V69" i="2"/>
  <c r="V44" i="5"/>
  <c r="T70" i="2"/>
  <c r="U70" i="2"/>
  <c r="V70" i="2"/>
  <c r="AW70" i="2"/>
  <c r="T71" i="2"/>
  <c r="U71" i="2"/>
  <c r="V71" i="2"/>
  <c r="AW71" i="2"/>
  <c r="T72" i="2"/>
  <c r="U72" i="2"/>
  <c r="V72" i="2"/>
  <c r="AW72" i="2"/>
  <c r="T73" i="2"/>
  <c r="T48" i="5"/>
  <c r="U73" i="2"/>
  <c r="V73" i="2"/>
  <c r="T74" i="2"/>
  <c r="U74" i="2"/>
  <c r="V74" i="2"/>
  <c r="AY66" i="2"/>
  <c r="AS66" i="2"/>
  <c r="Q66" i="2"/>
  <c r="O66" i="2"/>
  <c r="BA66" i="2"/>
  <c r="AY65" i="2"/>
  <c r="Q65" i="2"/>
  <c r="O65" i="2"/>
  <c r="BA65" i="2"/>
  <c r="AY64" i="2"/>
  <c r="Q64" i="2"/>
  <c r="O64" i="2"/>
  <c r="BA64" i="2"/>
  <c r="AY63" i="2"/>
  <c r="Q63" i="2"/>
  <c r="O63" i="2"/>
  <c r="BA63" i="2"/>
  <c r="AF38" i="5"/>
  <c r="AA39" i="5"/>
  <c r="AB39" i="5"/>
  <c r="AC39" i="5"/>
  <c r="AA40" i="5"/>
  <c r="AB40" i="5"/>
  <c r="AC40" i="5"/>
  <c r="AA41" i="5"/>
  <c r="AB41" i="5"/>
  <c r="AC41" i="5"/>
  <c r="AC38" i="5"/>
  <c r="AB38" i="5"/>
  <c r="AA38" i="5"/>
  <c r="Z38" i="5"/>
  <c r="Y38" i="5"/>
  <c r="X38" i="5"/>
  <c r="P39" i="5"/>
  <c r="P40" i="5"/>
  <c r="P41" i="5"/>
  <c r="W38" i="5"/>
  <c r="P38" i="5"/>
  <c r="K39" i="5"/>
  <c r="K40" i="5"/>
  <c r="K41" i="5"/>
  <c r="K38" i="5"/>
  <c r="H38" i="5"/>
  <c r="C38" i="5"/>
  <c r="C17" i="13"/>
  <c r="C16" i="13"/>
  <c r="V52" i="2"/>
  <c r="AW52" i="2"/>
  <c r="V53" i="2"/>
  <c r="V54" i="2"/>
  <c r="AW54" i="2"/>
  <c r="V55" i="2"/>
  <c r="AW55" i="2"/>
  <c r="V56" i="2"/>
  <c r="AW56" i="2"/>
  <c r="V57" i="2"/>
  <c r="AW57" i="2"/>
  <c r="V58" i="2"/>
  <c r="AW58" i="2"/>
  <c r="V59" i="2"/>
  <c r="AW59" i="2"/>
  <c r="V38" i="5"/>
  <c r="V60" i="2"/>
  <c r="V61" i="2"/>
  <c r="V40" i="5"/>
  <c r="V62" i="2"/>
  <c r="V41" i="5"/>
  <c r="V51" i="2"/>
  <c r="U52" i="2"/>
  <c r="U53" i="2"/>
  <c r="U54" i="2"/>
  <c r="U55" i="2"/>
  <c r="U56" i="2"/>
  <c r="U57" i="2"/>
  <c r="U58" i="2"/>
  <c r="U59" i="2"/>
  <c r="U38" i="5"/>
  <c r="U60" i="2"/>
  <c r="U39" i="5"/>
  <c r="U61" i="2"/>
  <c r="U40" i="5"/>
  <c r="U62" i="2"/>
  <c r="U41" i="5"/>
  <c r="U51" i="2"/>
  <c r="T52" i="2"/>
  <c r="AS52" i="2"/>
  <c r="T53" i="2"/>
  <c r="T54" i="2"/>
  <c r="T55" i="2"/>
  <c r="AS55" i="2"/>
  <c r="T56" i="2"/>
  <c r="AS56" i="2"/>
  <c r="T57" i="2"/>
  <c r="AS57" i="2"/>
  <c r="T58" i="2"/>
  <c r="AS58" i="2"/>
  <c r="T59" i="2"/>
  <c r="AS59" i="2"/>
  <c r="T60" i="2"/>
  <c r="T39" i="5"/>
  <c r="T61" i="2"/>
  <c r="T40" i="5"/>
  <c r="T62" i="2"/>
  <c r="T41" i="5"/>
  <c r="T51" i="2"/>
  <c r="AD59" i="2"/>
  <c r="AD38" i="5"/>
  <c r="AD60" i="2"/>
  <c r="AD39" i="5"/>
  <c r="AD61" i="2"/>
  <c r="AD40" i="5"/>
  <c r="AD62" i="2"/>
  <c r="AD41" i="5"/>
  <c r="Q51" i="2"/>
  <c r="O51" i="2"/>
  <c r="R19" i="2"/>
  <c r="AY62" i="2"/>
  <c r="Q62" i="2"/>
  <c r="Q41" i="5"/>
  <c r="AY61" i="2"/>
  <c r="Q61" i="2"/>
  <c r="O61" i="2"/>
  <c r="AY60" i="2"/>
  <c r="Q60" i="2"/>
  <c r="O60" i="2"/>
  <c r="AY59" i="2"/>
  <c r="Q59" i="2"/>
  <c r="O59" i="2"/>
  <c r="AY58" i="2"/>
  <c r="AD58" i="2"/>
  <c r="Q58" i="2"/>
  <c r="O58" i="2"/>
  <c r="AY57" i="2"/>
  <c r="AD57" i="2"/>
  <c r="Q57" i="2"/>
  <c r="O57" i="2"/>
  <c r="BA57" i="2"/>
  <c r="AY56" i="2"/>
  <c r="AD56" i="2"/>
  <c r="Q56" i="2"/>
  <c r="O56" i="2"/>
  <c r="BA56" i="2"/>
  <c r="BB56" i="2"/>
  <c r="AY55" i="2"/>
  <c r="AD55" i="2"/>
  <c r="Q55" i="2"/>
  <c r="O55" i="2"/>
  <c r="BA55" i="2"/>
  <c r="AS61" i="2"/>
  <c r="AW61" i="2"/>
  <c r="AW62" i="2"/>
  <c r="AS60" i="2"/>
  <c r="T38" i="5"/>
  <c r="BB55" i="2"/>
  <c r="C32" i="13"/>
  <c r="D33" i="13"/>
  <c r="C33" i="13"/>
  <c r="V128" i="2"/>
  <c r="AW128" i="2"/>
  <c r="U128" i="2"/>
  <c r="T128" i="2"/>
  <c r="AS128" i="2"/>
  <c r="V127" i="2"/>
  <c r="AW127" i="2"/>
  <c r="U127" i="2"/>
  <c r="T127" i="2"/>
  <c r="AS127" i="2"/>
  <c r="V126" i="2"/>
  <c r="AW126" i="2"/>
  <c r="U126" i="2"/>
  <c r="T126" i="2"/>
  <c r="AS126" i="2"/>
  <c r="V125" i="2"/>
  <c r="AW125" i="2"/>
  <c r="U125" i="2"/>
  <c r="T125" i="2"/>
  <c r="AS125" i="2"/>
  <c r="V122" i="2"/>
  <c r="V123" i="2"/>
  <c r="V124" i="2"/>
  <c r="V69" i="5"/>
  <c r="V121" i="2"/>
  <c r="U122" i="2"/>
  <c r="U123" i="2"/>
  <c r="U124" i="2"/>
  <c r="U69" i="5"/>
  <c r="U121" i="2"/>
  <c r="U66" i="5"/>
  <c r="T122" i="2"/>
  <c r="T123" i="2"/>
  <c r="T68" i="5"/>
  <c r="T124" i="2"/>
  <c r="AS124" i="2"/>
  <c r="T121" i="2"/>
  <c r="V92" i="2"/>
  <c r="AW92" i="2"/>
  <c r="V93" i="2"/>
  <c r="V94" i="2"/>
  <c r="AW94" i="2"/>
  <c r="V91" i="2"/>
  <c r="AW91" i="2"/>
  <c r="U92" i="2"/>
  <c r="U93" i="2"/>
  <c r="AV93" i="2"/>
  <c r="U94" i="2"/>
  <c r="U91" i="2"/>
  <c r="AV91" i="2"/>
  <c r="T91" i="2"/>
  <c r="T92" i="2"/>
  <c r="T93" i="2"/>
  <c r="AS93" i="2"/>
  <c r="AU93" i="2"/>
  <c r="T94" i="2"/>
  <c r="Q70" i="2"/>
  <c r="O70" i="2"/>
  <c r="Q71" i="2"/>
  <c r="O71" i="2"/>
  <c r="BA71" i="2"/>
  <c r="F177" i="2"/>
  <c r="F176" i="2"/>
  <c r="AW51" i="2"/>
  <c r="T89" i="2"/>
  <c r="AS89" i="2"/>
  <c r="AU89" i="2"/>
  <c r="BC89" i="2"/>
  <c r="U89" i="2"/>
  <c r="AV89" i="2"/>
  <c r="V89" i="2"/>
  <c r="AW89" i="2"/>
  <c r="AY89" i="2"/>
  <c r="BA89" i="2"/>
  <c r="U95" i="2"/>
  <c r="AT95" i="2"/>
  <c r="U96" i="2"/>
  <c r="T98" i="2"/>
  <c r="AT16" i="2"/>
  <c r="AT17" i="2"/>
  <c r="AT18" i="2"/>
  <c r="AT19" i="2"/>
  <c r="AT20" i="2"/>
  <c r="AY51" i="2"/>
  <c r="BB51" i="2"/>
  <c r="N16" i="14"/>
  <c r="T28" i="2"/>
  <c r="AS28" i="2"/>
  <c r="U28" i="2"/>
  <c r="V28" i="2"/>
  <c r="V15" i="5"/>
  <c r="G17" i="14"/>
  <c r="AD17" i="14"/>
  <c r="AG17" i="14"/>
  <c r="T29" i="2"/>
  <c r="AS29" i="2"/>
  <c r="U29" i="2"/>
  <c r="I18" i="14"/>
  <c r="AA18" i="14"/>
  <c r="V29" i="2"/>
  <c r="V16" i="5"/>
  <c r="G18" i="14"/>
  <c r="AD18" i="14"/>
  <c r="AG18" i="14"/>
  <c r="T30" i="2"/>
  <c r="T17" i="5"/>
  <c r="U30" i="2"/>
  <c r="I18" i="15"/>
  <c r="V30" i="2"/>
  <c r="J19" i="14"/>
  <c r="AB19" i="14"/>
  <c r="G19" i="14"/>
  <c r="AD19" i="14"/>
  <c r="AG19" i="14"/>
  <c r="N20" i="14"/>
  <c r="T31" i="2"/>
  <c r="H20" i="14"/>
  <c r="H19" i="15"/>
  <c r="U31" i="2"/>
  <c r="I20" i="14"/>
  <c r="AA20" i="14"/>
  <c r="V31" i="2"/>
  <c r="J19" i="15"/>
  <c r="G20" i="14"/>
  <c r="AD20" i="14"/>
  <c r="AG20" i="14"/>
  <c r="T32" i="2"/>
  <c r="H21" i="14"/>
  <c r="X21" i="14"/>
  <c r="Z21" i="14"/>
  <c r="U32" i="2"/>
  <c r="I21" i="14"/>
  <c r="AA21" i="14"/>
  <c r="V32" i="2"/>
  <c r="AW32" i="2"/>
  <c r="G21" i="14"/>
  <c r="AD21" i="14"/>
  <c r="AG21" i="14"/>
  <c r="T33" i="2"/>
  <c r="AS33" i="2"/>
  <c r="U33" i="2"/>
  <c r="V33" i="2"/>
  <c r="J22" i="14"/>
  <c r="AB22" i="14"/>
  <c r="G22" i="14"/>
  <c r="AD22" i="14"/>
  <c r="AG22" i="14"/>
  <c r="T34" i="2"/>
  <c r="H23" i="14"/>
  <c r="X23" i="14"/>
  <c r="U34" i="2"/>
  <c r="I23" i="14"/>
  <c r="V34" i="2"/>
  <c r="J22" i="15"/>
  <c r="G23" i="14"/>
  <c r="AD23" i="14"/>
  <c r="AG23" i="14"/>
  <c r="T27" i="2"/>
  <c r="AS27" i="2"/>
  <c r="U27" i="2"/>
  <c r="U14" i="5"/>
  <c r="V27" i="2"/>
  <c r="G16" i="14"/>
  <c r="AD16" i="14"/>
  <c r="AG16" i="14"/>
  <c r="AF16" i="14"/>
  <c r="Q37" i="2"/>
  <c r="Q24" i="5"/>
  <c r="AY37" i="2"/>
  <c r="Q72" i="2"/>
  <c r="O72" i="2"/>
  <c r="BA72" i="2"/>
  <c r="AY72" i="2"/>
  <c r="AY67" i="2"/>
  <c r="Q67" i="2"/>
  <c r="O67" i="2"/>
  <c r="O42" i="5"/>
  <c r="T90" i="2"/>
  <c r="AS90" i="2"/>
  <c r="AU90" i="2"/>
  <c r="V90" i="2"/>
  <c r="AW90" i="2"/>
  <c r="U90" i="2"/>
  <c r="AV90" i="2"/>
  <c r="AY90" i="2"/>
  <c r="BA90" i="2"/>
  <c r="AS91" i="2"/>
  <c r="AU91" i="2"/>
  <c r="BC91" i="2"/>
  <c r="AY91" i="2"/>
  <c r="BB91" i="2"/>
  <c r="BA91" i="2"/>
  <c r="AV92" i="2"/>
  <c r="AY92" i="2"/>
  <c r="BA92" i="2"/>
  <c r="BB92" i="2"/>
  <c r="AS92" i="2"/>
  <c r="AU92" i="2"/>
  <c r="AW93" i="2"/>
  <c r="AY93" i="2"/>
  <c r="BA93" i="2"/>
  <c r="AV94" i="2"/>
  <c r="AY94" i="2"/>
  <c r="BA94" i="2"/>
  <c r="T95" i="2"/>
  <c r="AS95" i="2"/>
  <c r="AU95" i="2"/>
  <c r="BC95" i="2"/>
  <c r="AW95" i="2"/>
  <c r="AY95" i="2"/>
  <c r="BA95" i="2"/>
  <c r="AT96" i="2"/>
  <c r="T96" i="2"/>
  <c r="AS96" i="2"/>
  <c r="AU96" i="2"/>
  <c r="AW96" i="2"/>
  <c r="BA96" i="2"/>
  <c r="BB96" i="2"/>
  <c r="T97" i="2"/>
  <c r="AS97" i="2"/>
  <c r="AU97" i="2"/>
  <c r="AT97" i="2"/>
  <c r="U97" i="2"/>
  <c r="AW97" i="2"/>
  <c r="BA97" i="2"/>
  <c r="BB97" i="2"/>
  <c r="AT98" i="2"/>
  <c r="AV98" i="2"/>
  <c r="U98" i="2"/>
  <c r="AW98" i="2"/>
  <c r="BA98" i="2"/>
  <c r="BB98" i="2"/>
  <c r="AS98" i="2"/>
  <c r="AU98" i="2"/>
  <c r="AY16" i="2"/>
  <c r="R16" i="2"/>
  <c r="O16" i="2"/>
  <c r="T16" i="2"/>
  <c r="AS16" i="2"/>
  <c r="AU16" i="2"/>
  <c r="U16" i="2"/>
  <c r="V16" i="2"/>
  <c r="AW16" i="2"/>
  <c r="AY17" i="2"/>
  <c r="R17" i="2"/>
  <c r="O17" i="2"/>
  <c r="BA17" i="2"/>
  <c r="T17" i="2"/>
  <c r="AS17" i="2"/>
  <c r="U17" i="2"/>
  <c r="V17" i="2"/>
  <c r="AW17" i="2"/>
  <c r="AY18" i="2"/>
  <c r="R18" i="2"/>
  <c r="O18" i="2"/>
  <c r="T18" i="2"/>
  <c r="AS18" i="2"/>
  <c r="U18" i="2"/>
  <c r="V18" i="2"/>
  <c r="AW18" i="2"/>
  <c r="AY19" i="2"/>
  <c r="O19" i="2"/>
  <c r="T19" i="2"/>
  <c r="AS19" i="2"/>
  <c r="U19" i="2"/>
  <c r="V19" i="2"/>
  <c r="AW19" i="2"/>
  <c r="AY20" i="2"/>
  <c r="R20" i="2"/>
  <c r="O20" i="2"/>
  <c r="T20" i="2"/>
  <c r="AS20" i="2"/>
  <c r="U20" i="2"/>
  <c r="V20" i="2"/>
  <c r="AW20" i="2"/>
  <c r="AY21" i="2"/>
  <c r="R21" i="2"/>
  <c r="O21" i="2"/>
  <c r="BA21" i="2"/>
  <c r="T21" i="2"/>
  <c r="AS21" i="2"/>
  <c r="U21" i="2"/>
  <c r="V21" i="2"/>
  <c r="AW21" i="2"/>
  <c r="AY22" i="2"/>
  <c r="R22" i="2"/>
  <c r="O22" i="2"/>
  <c r="BA22" i="2"/>
  <c r="T22" i="2"/>
  <c r="AS22" i="2"/>
  <c r="U22" i="2"/>
  <c r="V22" i="2"/>
  <c r="AW22" i="2"/>
  <c r="R23" i="2"/>
  <c r="O23" i="2"/>
  <c r="T23" i="2"/>
  <c r="AS23" i="2"/>
  <c r="U23" i="2"/>
  <c r="V23" i="2"/>
  <c r="AW23" i="2"/>
  <c r="AY24" i="2"/>
  <c r="R24" i="2"/>
  <c r="O24" i="2"/>
  <c r="T24" i="2"/>
  <c r="AS24" i="2"/>
  <c r="U24" i="2"/>
  <c r="V24" i="2"/>
  <c r="AW24" i="2"/>
  <c r="AY25" i="2"/>
  <c r="R25" i="2"/>
  <c r="O25" i="2"/>
  <c r="BA25" i="2"/>
  <c r="T25" i="2"/>
  <c r="AS25" i="2"/>
  <c r="U25" i="2"/>
  <c r="V25" i="2"/>
  <c r="AW25" i="2"/>
  <c r="AY26" i="2"/>
  <c r="BA26" i="2"/>
  <c r="R26" i="2"/>
  <c r="O26" i="2"/>
  <c r="T26" i="2"/>
  <c r="AS26" i="2"/>
  <c r="U26" i="2"/>
  <c r="V26" i="2"/>
  <c r="AW26" i="2"/>
  <c r="AY27" i="2"/>
  <c r="Q27" i="2"/>
  <c r="O27" i="2"/>
  <c r="BA27" i="2"/>
  <c r="O14" i="5"/>
  <c r="AY28" i="2"/>
  <c r="Q28" i="2"/>
  <c r="AY29" i="2"/>
  <c r="Q29" i="2"/>
  <c r="O29" i="2"/>
  <c r="BA29" i="2"/>
  <c r="AY30" i="2"/>
  <c r="Q30" i="2"/>
  <c r="O30" i="2"/>
  <c r="AY31" i="2"/>
  <c r="Q31" i="2"/>
  <c r="O31" i="2"/>
  <c r="O18" i="5"/>
  <c r="AY32" i="2"/>
  <c r="Q32" i="2"/>
  <c r="O32" i="2"/>
  <c r="BA32" i="2"/>
  <c r="AY33" i="2"/>
  <c r="Q33" i="2"/>
  <c r="Q20" i="5"/>
  <c r="AY34" i="2"/>
  <c r="Q34" i="2"/>
  <c r="Q21" i="5"/>
  <c r="AY35" i="2"/>
  <c r="Q35" i="2"/>
  <c r="Q22" i="5"/>
  <c r="T35" i="2"/>
  <c r="AS35" i="2"/>
  <c r="V35" i="2"/>
  <c r="AY36" i="2"/>
  <c r="Q36" i="2"/>
  <c r="T36" i="2"/>
  <c r="AS36" i="2"/>
  <c r="V36" i="2"/>
  <c r="AW36" i="2"/>
  <c r="T37" i="2"/>
  <c r="AS37" i="2"/>
  <c r="V37" i="2"/>
  <c r="AW37" i="2"/>
  <c r="AY38" i="2"/>
  <c r="Q38" i="2"/>
  <c r="O38" i="2"/>
  <c r="BA38" i="2"/>
  <c r="Q25" i="5"/>
  <c r="T38" i="2"/>
  <c r="T25" i="5"/>
  <c r="V38" i="2"/>
  <c r="V25" i="5"/>
  <c r="AY39" i="2"/>
  <c r="R39" i="2"/>
  <c r="O39" i="2"/>
  <c r="BA39" i="2"/>
  <c r="O26" i="5"/>
  <c r="T39" i="2"/>
  <c r="U39" i="2"/>
  <c r="U26" i="5"/>
  <c r="V39" i="2"/>
  <c r="AW39" i="2"/>
  <c r="AY40" i="2"/>
  <c r="R40" i="2"/>
  <c r="O40" i="2"/>
  <c r="O27" i="5"/>
  <c r="T40" i="2"/>
  <c r="AS40" i="2"/>
  <c r="U40" i="2"/>
  <c r="U27" i="5"/>
  <c r="V40" i="2"/>
  <c r="AW40" i="2"/>
  <c r="AY41" i="2"/>
  <c r="R41" i="2"/>
  <c r="O41" i="2"/>
  <c r="T41" i="2"/>
  <c r="T28" i="5"/>
  <c r="U41" i="2"/>
  <c r="U28" i="5"/>
  <c r="V41" i="2"/>
  <c r="AW41" i="2"/>
  <c r="AY42" i="2"/>
  <c r="R42" i="2"/>
  <c r="O42" i="2"/>
  <c r="BA42" i="2"/>
  <c r="O29" i="5"/>
  <c r="T42" i="2"/>
  <c r="AS42" i="2"/>
  <c r="U42" i="2"/>
  <c r="U29" i="5"/>
  <c r="V42" i="2"/>
  <c r="V29" i="5"/>
  <c r="AY43" i="2"/>
  <c r="Q43" i="2"/>
  <c r="O43" i="2"/>
  <c r="O30" i="5"/>
  <c r="T43" i="2"/>
  <c r="AS43" i="2"/>
  <c r="U43" i="2"/>
  <c r="U30" i="5"/>
  <c r="V43" i="2"/>
  <c r="V30" i="5"/>
  <c r="AY44" i="2"/>
  <c r="Q44" i="2"/>
  <c r="T44" i="2"/>
  <c r="T31" i="5"/>
  <c r="U44" i="2"/>
  <c r="U31" i="5"/>
  <c r="V44" i="2"/>
  <c r="AW44" i="2"/>
  <c r="AY45" i="2"/>
  <c r="Q45" i="2"/>
  <c r="O45" i="2"/>
  <c r="O32" i="5"/>
  <c r="T45" i="2"/>
  <c r="T32" i="5"/>
  <c r="U45" i="2"/>
  <c r="V45" i="2"/>
  <c r="V32" i="5"/>
  <c r="AW45" i="2"/>
  <c r="AY46" i="2"/>
  <c r="Q46" i="2"/>
  <c r="O46" i="2"/>
  <c r="BA46" i="2"/>
  <c r="O33" i="5"/>
  <c r="T46" i="2"/>
  <c r="AS46" i="2"/>
  <c r="U46" i="2"/>
  <c r="U33" i="5"/>
  <c r="V46" i="2"/>
  <c r="AY47" i="2"/>
  <c r="Q47" i="2"/>
  <c r="O47" i="2"/>
  <c r="O34" i="5"/>
  <c r="T47" i="2"/>
  <c r="AS47" i="2"/>
  <c r="U47" i="2"/>
  <c r="U34" i="5"/>
  <c r="V47" i="2"/>
  <c r="AY48" i="2"/>
  <c r="Q48" i="2"/>
  <c r="O48" i="2"/>
  <c r="BA48" i="2"/>
  <c r="T48" i="2"/>
  <c r="T35" i="5"/>
  <c r="U48" i="2"/>
  <c r="U35" i="5"/>
  <c r="V48" i="2"/>
  <c r="AW48" i="2"/>
  <c r="AY49" i="2"/>
  <c r="Q49" i="2"/>
  <c r="T49" i="2"/>
  <c r="T36" i="5"/>
  <c r="U49" i="2"/>
  <c r="U36" i="5"/>
  <c r="V49" i="2"/>
  <c r="V36" i="5"/>
  <c r="AY50" i="2"/>
  <c r="Q50" i="2"/>
  <c r="O50" i="2"/>
  <c r="T50" i="2"/>
  <c r="U50" i="2"/>
  <c r="U37" i="5"/>
  <c r="V50" i="2"/>
  <c r="V37" i="5"/>
  <c r="AY52" i="2"/>
  <c r="Q52" i="2"/>
  <c r="O52" i="2"/>
  <c r="AS53" i="2"/>
  <c r="AY53" i="2"/>
  <c r="AY54" i="2"/>
  <c r="AY68" i="2"/>
  <c r="T43" i="5"/>
  <c r="AW68" i="2"/>
  <c r="AY69" i="2"/>
  <c r="Q69" i="2"/>
  <c r="O69" i="2"/>
  <c r="U44" i="5"/>
  <c r="AW69" i="2"/>
  <c r="AY70" i="2"/>
  <c r="BA70" i="2"/>
  <c r="AS70" i="2"/>
  <c r="U45" i="5"/>
  <c r="AS71" i="2"/>
  <c r="U47" i="5"/>
  <c r="AY73" i="2"/>
  <c r="Q73" i="2"/>
  <c r="AW73" i="2"/>
  <c r="AY74" i="2"/>
  <c r="Q74" i="2"/>
  <c r="Q49" i="5"/>
  <c r="AW74" i="2"/>
  <c r="AY79" i="2"/>
  <c r="Q79" i="2"/>
  <c r="O79" i="2"/>
  <c r="O50" i="5"/>
  <c r="AY80" i="2"/>
  <c r="Q80" i="2"/>
  <c r="AW80" i="2"/>
  <c r="AY81" i="2"/>
  <c r="U56" i="5"/>
  <c r="AW85" i="2"/>
  <c r="AY82" i="2"/>
  <c r="Q82" i="2"/>
  <c r="AY83" i="2"/>
  <c r="Q83" i="2"/>
  <c r="O83" i="2"/>
  <c r="O54" i="5"/>
  <c r="T54" i="5"/>
  <c r="AY84" i="2"/>
  <c r="Q84" i="2"/>
  <c r="AS84" i="2"/>
  <c r="AY85" i="2"/>
  <c r="Q85" i="2"/>
  <c r="T56" i="5"/>
  <c r="AY86" i="2"/>
  <c r="Q86" i="2"/>
  <c r="O86" i="2"/>
  <c r="T87" i="2"/>
  <c r="AS87" i="2"/>
  <c r="AU87" i="2"/>
  <c r="U87" i="2"/>
  <c r="AV87" i="2"/>
  <c r="V87" i="2"/>
  <c r="AW87" i="2"/>
  <c r="AY87" i="2"/>
  <c r="BA87" i="2"/>
  <c r="T88" i="2"/>
  <c r="AS88" i="2"/>
  <c r="AU88" i="2"/>
  <c r="U88" i="2"/>
  <c r="AV88" i="2"/>
  <c r="V88" i="2"/>
  <c r="AW88" i="2"/>
  <c r="AY88" i="2"/>
  <c r="BA88" i="2"/>
  <c r="AY15" i="2"/>
  <c r="R15" i="2"/>
  <c r="O15" i="2"/>
  <c r="T15" i="2"/>
  <c r="AS15" i="2"/>
  <c r="AU15" i="2"/>
  <c r="U15" i="2"/>
  <c r="AV15" i="2"/>
  <c r="V15" i="2"/>
  <c r="AW15" i="2"/>
  <c r="C25" i="13"/>
  <c r="D25" i="13"/>
  <c r="C26" i="13"/>
  <c r="D26" i="13"/>
  <c r="S28" i="8"/>
  <c r="S29" i="8"/>
  <c r="S30" i="8"/>
  <c r="S31" i="8"/>
  <c r="S32" i="8"/>
  <c r="S33" i="8"/>
  <c r="S34" i="8"/>
  <c r="S35" i="8"/>
  <c r="S36" i="8"/>
  <c r="S37" i="8"/>
  <c r="S38" i="8"/>
  <c r="S39" i="8"/>
  <c r="S40" i="8"/>
  <c r="S41" i="8"/>
  <c r="S42" i="8"/>
  <c r="S43" i="8"/>
  <c r="S44" i="8"/>
  <c r="S45" i="8"/>
  <c r="S46" i="8"/>
  <c r="S47" i="8"/>
  <c r="S48" i="8"/>
  <c r="S49" i="8"/>
  <c r="S50" i="8"/>
  <c r="S51" i="8"/>
  <c r="S52" i="8"/>
  <c r="S53" i="8"/>
  <c r="S54" i="8"/>
  <c r="S55" i="8"/>
  <c r="S56" i="8"/>
  <c r="S57" i="8"/>
  <c r="S58" i="8"/>
  <c r="S59" i="8"/>
  <c r="S60" i="8"/>
  <c r="S61" i="8"/>
  <c r="S62" i="8"/>
  <c r="S63" i="8"/>
  <c r="B40" i="8"/>
  <c r="C40" i="8"/>
  <c r="L59" i="8"/>
  <c r="L60" i="8"/>
  <c r="L61" i="8"/>
  <c r="L62" i="8"/>
  <c r="L63" i="8"/>
  <c r="B59" i="8"/>
  <c r="D59" i="8"/>
  <c r="E59" i="8"/>
  <c r="F59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H59" i="8"/>
  <c r="I59" i="8"/>
  <c r="B60" i="8"/>
  <c r="C60" i="8"/>
  <c r="D60" i="8"/>
  <c r="E60" i="8"/>
  <c r="F60" i="8"/>
  <c r="H60" i="8"/>
  <c r="I60" i="8"/>
  <c r="B61" i="8"/>
  <c r="O61" i="8"/>
  <c r="I61" i="8"/>
  <c r="D61" i="8"/>
  <c r="E61" i="8"/>
  <c r="F61" i="8"/>
  <c r="H61" i="8"/>
  <c r="B62" i="8"/>
  <c r="C62" i="8"/>
  <c r="D62" i="8"/>
  <c r="E62" i="8"/>
  <c r="F62" i="8"/>
  <c r="H62" i="8"/>
  <c r="I62" i="8"/>
  <c r="O62" i="8"/>
  <c r="B63" i="8"/>
  <c r="C63" i="8"/>
  <c r="D63" i="8"/>
  <c r="E63" i="8"/>
  <c r="F63" i="8"/>
  <c r="H63" i="8"/>
  <c r="I63" i="8"/>
  <c r="I40" i="8"/>
  <c r="I41" i="8"/>
  <c r="I42" i="8"/>
  <c r="B42" i="8"/>
  <c r="I43" i="8"/>
  <c r="I44" i="8"/>
  <c r="I45" i="8"/>
  <c r="I46" i="8"/>
  <c r="I47" i="8"/>
  <c r="I48" i="8"/>
  <c r="B48" i="8"/>
  <c r="C48" i="8"/>
  <c r="I49" i="8"/>
  <c r="I50" i="8"/>
  <c r="I51" i="8"/>
  <c r="I52" i="8"/>
  <c r="I53" i="8"/>
  <c r="O53" i="8"/>
  <c r="I54" i="8"/>
  <c r="O54" i="8"/>
  <c r="B54" i="8"/>
  <c r="I55" i="8"/>
  <c r="I56" i="8"/>
  <c r="I57" i="8"/>
  <c r="I58" i="8"/>
  <c r="B58" i="8"/>
  <c r="O58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B41" i="8"/>
  <c r="C41" i="8"/>
  <c r="O41" i="8"/>
  <c r="C42" i="8"/>
  <c r="B43" i="8"/>
  <c r="B44" i="8"/>
  <c r="B45" i="8"/>
  <c r="O45" i="8"/>
  <c r="B46" i="8"/>
  <c r="O46" i="8"/>
  <c r="B47" i="8"/>
  <c r="C47" i="8"/>
  <c r="B49" i="8"/>
  <c r="B50" i="8"/>
  <c r="O50" i="8"/>
  <c r="B51" i="8"/>
  <c r="O51" i="8"/>
  <c r="B52" i="8"/>
  <c r="B53" i="8"/>
  <c r="B55" i="8"/>
  <c r="C55" i="8"/>
  <c r="B56" i="8"/>
  <c r="C56" i="8"/>
  <c r="B57" i="8"/>
  <c r="O57" i="8"/>
  <c r="C58" i="8"/>
  <c r="E35" i="8"/>
  <c r="I117" i="2"/>
  <c r="I62" i="5"/>
  <c r="I118" i="2"/>
  <c r="I63" i="5"/>
  <c r="I119" i="2"/>
  <c r="I64" i="5"/>
  <c r="I120" i="2"/>
  <c r="I65" i="5"/>
  <c r="L113" i="2"/>
  <c r="I113" i="2"/>
  <c r="I58" i="5"/>
  <c r="D24" i="13"/>
  <c r="D31" i="13"/>
  <c r="B46" i="15"/>
  <c r="B45" i="15"/>
  <c r="B44" i="15"/>
  <c r="B43" i="15"/>
  <c r="B47" i="14"/>
  <c r="B46" i="14"/>
  <c r="B45" i="14"/>
  <c r="B44" i="14"/>
  <c r="U22" i="15"/>
  <c r="T22" i="15"/>
  <c r="S22" i="15"/>
  <c r="G22" i="15"/>
  <c r="U21" i="15"/>
  <c r="T21" i="15"/>
  <c r="S21" i="15"/>
  <c r="G21" i="15"/>
  <c r="U20" i="15"/>
  <c r="T20" i="15"/>
  <c r="S20" i="15"/>
  <c r="G20" i="15"/>
  <c r="U19" i="15"/>
  <c r="T19" i="15"/>
  <c r="S19" i="15"/>
  <c r="P19" i="15"/>
  <c r="N19" i="15"/>
  <c r="M19" i="15"/>
  <c r="L19" i="15"/>
  <c r="K19" i="15"/>
  <c r="G19" i="15"/>
  <c r="B19" i="15"/>
  <c r="U18" i="15"/>
  <c r="T18" i="15"/>
  <c r="S18" i="15"/>
  <c r="U17" i="15"/>
  <c r="T17" i="15"/>
  <c r="S17" i="15"/>
  <c r="U16" i="15"/>
  <c r="T16" i="15"/>
  <c r="S16" i="15"/>
  <c r="U15" i="15"/>
  <c r="T15" i="15"/>
  <c r="S15" i="15"/>
  <c r="P15" i="15"/>
  <c r="G18" i="15"/>
  <c r="G17" i="15"/>
  <c r="G16" i="15"/>
  <c r="N15" i="15"/>
  <c r="M15" i="15"/>
  <c r="L15" i="15"/>
  <c r="K15" i="15"/>
  <c r="G15" i="15"/>
  <c r="B15" i="15"/>
  <c r="U23" i="14"/>
  <c r="T23" i="14"/>
  <c r="S23" i="14"/>
  <c r="U22" i="14"/>
  <c r="T22" i="14"/>
  <c r="S22" i="14"/>
  <c r="U21" i="14"/>
  <c r="T21" i="14"/>
  <c r="S21" i="14"/>
  <c r="U20" i="14"/>
  <c r="T20" i="14"/>
  <c r="S20" i="14"/>
  <c r="P20" i="14"/>
  <c r="M20" i="14"/>
  <c r="L20" i="14"/>
  <c r="K20" i="14"/>
  <c r="B20" i="14"/>
  <c r="S17" i="14"/>
  <c r="T17" i="14"/>
  <c r="U17" i="14"/>
  <c r="S18" i="14"/>
  <c r="T18" i="14"/>
  <c r="U18" i="14"/>
  <c r="S19" i="14"/>
  <c r="T19" i="14"/>
  <c r="U19" i="14"/>
  <c r="T16" i="14"/>
  <c r="U16" i="14"/>
  <c r="S16" i="14"/>
  <c r="P16" i="14"/>
  <c r="M16" i="14"/>
  <c r="L16" i="14"/>
  <c r="K16" i="14"/>
  <c r="B16" i="14"/>
  <c r="V102" i="2"/>
  <c r="AW102" i="2"/>
  <c r="T102" i="2"/>
  <c r="AS102" i="2"/>
  <c r="AU102" i="2"/>
  <c r="U102" i="2"/>
  <c r="BC102" i="2"/>
  <c r="V101" i="2"/>
  <c r="AW101" i="2"/>
  <c r="V100" i="2"/>
  <c r="AW100" i="2"/>
  <c r="V99" i="2"/>
  <c r="AW99" i="2"/>
  <c r="T99" i="2"/>
  <c r="AS99" i="2"/>
  <c r="AU99" i="2"/>
  <c r="U99" i="2"/>
  <c r="AV99" i="2"/>
  <c r="T101" i="2"/>
  <c r="T100" i="2"/>
  <c r="AS100" i="2"/>
  <c r="AY144" i="2"/>
  <c r="BA144" i="2"/>
  <c r="BA142" i="2"/>
  <c r="BA143" i="2"/>
  <c r="BA141" i="2"/>
  <c r="BB141" i="2"/>
  <c r="AY142" i="2"/>
  <c r="BB142" i="2"/>
  <c r="AY143" i="2"/>
  <c r="BB143" i="2"/>
  <c r="AY141" i="2"/>
  <c r="C31" i="13"/>
  <c r="N120" i="2"/>
  <c r="N65" i="5"/>
  <c r="N119" i="2"/>
  <c r="M119" i="2"/>
  <c r="K119" i="2"/>
  <c r="K64" i="5"/>
  <c r="N118" i="2"/>
  <c r="M118" i="2"/>
  <c r="K118" i="2"/>
  <c r="K63" i="5"/>
  <c r="N117" i="2"/>
  <c r="N62" i="5"/>
  <c r="V143" i="2"/>
  <c r="AW143" i="2"/>
  <c r="V144" i="2"/>
  <c r="V85" i="5"/>
  <c r="V142" i="2"/>
  <c r="V141" i="2"/>
  <c r="U144" i="2"/>
  <c r="U85" i="5"/>
  <c r="U143" i="2"/>
  <c r="U142" i="2"/>
  <c r="U83" i="5"/>
  <c r="U141" i="2"/>
  <c r="U82" i="5"/>
  <c r="T144" i="2"/>
  <c r="T85" i="5"/>
  <c r="T143" i="2"/>
  <c r="T84" i="5"/>
  <c r="T142" i="2"/>
  <c r="T141" i="2"/>
  <c r="T82" i="5"/>
  <c r="L114" i="2"/>
  <c r="M114" i="2"/>
  <c r="M59" i="5"/>
  <c r="L116" i="2"/>
  <c r="I116" i="2"/>
  <c r="I61" i="5"/>
  <c r="L115" i="2"/>
  <c r="I115" i="2"/>
  <c r="I60" i="5"/>
  <c r="V117" i="2"/>
  <c r="V62" i="5"/>
  <c r="V118" i="2"/>
  <c r="V63" i="5"/>
  <c r="V116" i="2"/>
  <c r="AW116" i="2"/>
  <c r="V115" i="2"/>
  <c r="AW115" i="2"/>
  <c r="V114" i="2"/>
  <c r="V59" i="5"/>
  <c r="V119" i="2"/>
  <c r="AW119" i="2"/>
  <c r="V64" i="5"/>
  <c r="V120" i="2"/>
  <c r="V113" i="2"/>
  <c r="AW113" i="2"/>
  <c r="U114" i="2"/>
  <c r="U59" i="5"/>
  <c r="U115" i="2"/>
  <c r="U60" i="5"/>
  <c r="U116" i="2"/>
  <c r="U61" i="5"/>
  <c r="U117" i="2"/>
  <c r="U62" i="5"/>
  <c r="U118" i="2"/>
  <c r="U63" i="5"/>
  <c r="U119" i="2"/>
  <c r="U64" i="5"/>
  <c r="U120" i="2"/>
  <c r="U65" i="5"/>
  <c r="U113" i="2"/>
  <c r="U58" i="5"/>
  <c r="T120" i="2"/>
  <c r="AS120" i="2"/>
  <c r="T119" i="2"/>
  <c r="T64" i="5"/>
  <c r="T118" i="2"/>
  <c r="T63" i="5"/>
  <c r="T117" i="2"/>
  <c r="AS117" i="2"/>
  <c r="T116" i="2"/>
  <c r="T61" i="5"/>
  <c r="AS116" i="2"/>
  <c r="T115" i="2"/>
  <c r="T60" i="5"/>
  <c r="T114" i="2"/>
  <c r="AS114" i="2"/>
  <c r="T113" i="2"/>
  <c r="AS113" i="2"/>
  <c r="AU113" i="2"/>
  <c r="D11" i="11"/>
  <c r="D12" i="11"/>
  <c r="D43" i="13"/>
  <c r="C43" i="13"/>
  <c r="D36" i="13"/>
  <c r="D37" i="13"/>
  <c r="D38" i="13"/>
  <c r="D39" i="13"/>
  <c r="D40" i="13"/>
  <c r="D41" i="13"/>
  <c r="D42" i="13"/>
  <c r="D34" i="13"/>
  <c r="D32" i="13"/>
  <c r="D30" i="13"/>
  <c r="D27" i="13"/>
  <c r="C36" i="13"/>
  <c r="D13" i="11"/>
  <c r="D14" i="11"/>
  <c r="D15" i="11"/>
  <c r="AD79" i="5"/>
  <c r="AD80" i="5"/>
  <c r="AD81" i="5"/>
  <c r="AC79" i="5"/>
  <c r="AC80" i="5"/>
  <c r="AC81" i="5"/>
  <c r="G78" i="5"/>
  <c r="H78" i="5"/>
  <c r="K78" i="5"/>
  <c r="W78" i="5"/>
  <c r="X78" i="5"/>
  <c r="Y78" i="5"/>
  <c r="Z78" i="5"/>
  <c r="AA78" i="5"/>
  <c r="AC78" i="5"/>
  <c r="AD78" i="5"/>
  <c r="AF78" i="5"/>
  <c r="K79" i="5"/>
  <c r="AA79" i="5"/>
  <c r="K80" i="5"/>
  <c r="AA80" i="5"/>
  <c r="K81" i="5"/>
  <c r="AA81" i="5"/>
  <c r="F81" i="5"/>
  <c r="F80" i="5"/>
  <c r="F79" i="5"/>
  <c r="F78" i="5"/>
  <c r="D78" i="5"/>
  <c r="C78" i="5"/>
  <c r="V78" i="5"/>
  <c r="U78" i="5"/>
  <c r="T80" i="5"/>
  <c r="AH98" i="2"/>
  <c r="AH96" i="2"/>
  <c r="AH97" i="2"/>
  <c r="AH95" i="2"/>
  <c r="I30" i="15"/>
  <c r="G30" i="15"/>
  <c r="E30" i="15"/>
  <c r="I29" i="15"/>
  <c r="G29" i="15"/>
  <c r="E29" i="15"/>
  <c r="I28" i="15"/>
  <c r="G28" i="15"/>
  <c r="E28" i="15"/>
  <c r="N27" i="15"/>
  <c r="M27" i="15"/>
  <c r="L27" i="15"/>
  <c r="K27" i="15"/>
  <c r="I27" i="15"/>
  <c r="G27" i="15"/>
  <c r="F27" i="15"/>
  <c r="E27" i="15"/>
  <c r="I26" i="15"/>
  <c r="G26" i="15"/>
  <c r="E26" i="15"/>
  <c r="I25" i="15"/>
  <c r="G25" i="15"/>
  <c r="E25" i="15"/>
  <c r="I24" i="15"/>
  <c r="G24" i="15"/>
  <c r="E24" i="15"/>
  <c r="N23" i="15"/>
  <c r="M23" i="15"/>
  <c r="L23" i="15"/>
  <c r="K23" i="15"/>
  <c r="I23" i="15"/>
  <c r="G23" i="15"/>
  <c r="F23" i="15"/>
  <c r="E23" i="15"/>
  <c r="J31" i="14"/>
  <c r="J30" i="15"/>
  <c r="H31" i="14"/>
  <c r="H30" i="15"/>
  <c r="J30" i="14"/>
  <c r="J29" i="15"/>
  <c r="H30" i="14"/>
  <c r="H29" i="15"/>
  <c r="J29" i="14"/>
  <c r="J28" i="15"/>
  <c r="H29" i="14"/>
  <c r="H28" i="15"/>
  <c r="J28" i="14"/>
  <c r="J27" i="15"/>
  <c r="H28" i="14"/>
  <c r="H27" i="15"/>
  <c r="J27" i="14"/>
  <c r="J26" i="15"/>
  <c r="H27" i="14"/>
  <c r="H26" i="15"/>
  <c r="J26" i="14"/>
  <c r="J25" i="15"/>
  <c r="H26" i="14"/>
  <c r="H25" i="15"/>
  <c r="J25" i="14"/>
  <c r="J24" i="15"/>
  <c r="H25" i="14"/>
  <c r="H24" i="15"/>
  <c r="J24" i="14"/>
  <c r="J23" i="15"/>
  <c r="H24" i="14"/>
  <c r="H23" i="15"/>
  <c r="AF23" i="14"/>
  <c r="AF22" i="14"/>
  <c r="AF21" i="14"/>
  <c r="AF20" i="14"/>
  <c r="AF19" i="14"/>
  <c r="AF18" i="14"/>
  <c r="AF17" i="14"/>
  <c r="Y17" i="14"/>
  <c r="Y18" i="14"/>
  <c r="Y19" i="14"/>
  <c r="Y20" i="14"/>
  <c r="Y21" i="14"/>
  <c r="Y22" i="14"/>
  <c r="Y23" i="14"/>
  <c r="AA23" i="14"/>
  <c r="D17" i="11"/>
  <c r="D18" i="11"/>
  <c r="D19" i="11"/>
  <c r="W96" i="2"/>
  <c r="W97" i="2"/>
  <c r="W98" i="2"/>
  <c r="C6" i="12"/>
  <c r="D44" i="13"/>
  <c r="C44" i="13"/>
  <c r="C42" i="13"/>
  <c r="C41" i="13"/>
  <c r="C40" i="13"/>
  <c r="C39" i="13"/>
  <c r="C38" i="13"/>
  <c r="C37" i="13"/>
  <c r="C35" i="13"/>
  <c r="C34" i="13"/>
  <c r="C30" i="13"/>
  <c r="C27" i="13"/>
  <c r="C24" i="13"/>
  <c r="C23" i="13"/>
  <c r="C22" i="13"/>
  <c r="C20" i="13"/>
  <c r="C19" i="13"/>
  <c r="C15" i="13"/>
  <c r="C14" i="13"/>
  <c r="C13" i="13"/>
  <c r="C12" i="13"/>
  <c r="C11" i="13"/>
  <c r="C10" i="13"/>
  <c r="C9" i="13"/>
  <c r="C8" i="13"/>
  <c r="C7" i="13"/>
  <c r="C6" i="13"/>
  <c r="D26" i="11"/>
  <c r="D27" i="11"/>
  <c r="V102" i="5"/>
  <c r="U103" i="5"/>
  <c r="U102" i="5"/>
  <c r="T105" i="5"/>
  <c r="T104" i="5"/>
  <c r="D28" i="11"/>
  <c r="B133" i="5"/>
  <c r="B128" i="5"/>
  <c r="C128" i="5"/>
  <c r="B126" i="5"/>
  <c r="B127" i="5"/>
  <c r="B129" i="5"/>
  <c r="B130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D29" i="11"/>
  <c r="D30" i="11"/>
  <c r="D31" i="11"/>
  <c r="D32" i="11"/>
  <c r="AS160" i="2"/>
  <c r="D34" i="11"/>
  <c r="X98" i="5"/>
  <c r="D36" i="11"/>
  <c r="D37" i="11"/>
  <c r="D38" i="11"/>
  <c r="D39" i="11"/>
  <c r="W95" i="2"/>
  <c r="D52" i="11"/>
  <c r="D50" i="11"/>
  <c r="D40" i="11"/>
  <c r="D42" i="11"/>
  <c r="D41" i="11"/>
  <c r="D43" i="11"/>
  <c r="D44" i="11"/>
  <c r="K105" i="5"/>
  <c r="D45" i="11"/>
  <c r="C102" i="5"/>
  <c r="AF102" i="5"/>
  <c r="Z102" i="5"/>
  <c r="Y102" i="5"/>
  <c r="X102" i="5"/>
  <c r="W102" i="5"/>
  <c r="K104" i="5"/>
  <c r="K103" i="5"/>
  <c r="K102" i="5"/>
  <c r="H102" i="5"/>
  <c r="G102" i="5"/>
  <c r="F105" i="5"/>
  <c r="F104" i="5"/>
  <c r="F103" i="5"/>
  <c r="F102" i="5"/>
  <c r="D46" i="11"/>
  <c r="D47" i="11"/>
  <c r="D48" i="11"/>
  <c r="AF94" i="5"/>
  <c r="AF90" i="5"/>
  <c r="AF86" i="5"/>
  <c r="AF82" i="5"/>
  <c r="AF74" i="5"/>
  <c r="AF70" i="5"/>
  <c r="AF66" i="5"/>
  <c r="AF62" i="5"/>
  <c r="AF58" i="5"/>
  <c r="AF54" i="5"/>
  <c r="AF50" i="5"/>
  <c r="AF46" i="5"/>
  <c r="AF42" i="5"/>
  <c r="AF30" i="5"/>
  <c r="AF26" i="5"/>
  <c r="AF22" i="5"/>
  <c r="AF18" i="5"/>
  <c r="AF14" i="5"/>
  <c r="D49" i="11"/>
  <c r="V91" i="5"/>
  <c r="V92" i="5"/>
  <c r="V93" i="5"/>
  <c r="V90" i="5"/>
  <c r="W90" i="5"/>
  <c r="X90" i="5"/>
  <c r="U148" i="2"/>
  <c r="U89" i="5"/>
  <c r="U146" i="2"/>
  <c r="U87" i="5"/>
  <c r="U147" i="2"/>
  <c r="U88" i="5"/>
  <c r="T148" i="2"/>
  <c r="T89" i="5"/>
  <c r="AS148" i="2"/>
  <c r="T147" i="2"/>
  <c r="AS147" i="2"/>
  <c r="T146" i="2"/>
  <c r="T87" i="5"/>
  <c r="BA99" i="2"/>
  <c r="BA100" i="2"/>
  <c r="BA101" i="2"/>
  <c r="BA102" i="2"/>
  <c r="BB102" i="2"/>
  <c r="AY102" i="2"/>
  <c r="AY101" i="2"/>
  <c r="BB101" i="2"/>
  <c r="AY100" i="2"/>
  <c r="BB100" i="2"/>
  <c r="AY99" i="2"/>
  <c r="BB99" i="2"/>
  <c r="M8" i="8"/>
  <c r="K8" i="8"/>
  <c r="J8" i="8"/>
  <c r="L58" i="8"/>
  <c r="D58" i="8"/>
  <c r="L57" i="8"/>
  <c r="D57" i="8"/>
  <c r="L56" i="8"/>
  <c r="D56" i="8"/>
  <c r="L55" i="8"/>
  <c r="D55" i="8"/>
  <c r="L54" i="8"/>
  <c r="D54" i="8"/>
  <c r="C54" i="8"/>
  <c r="L53" i="8"/>
  <c r="D53" i="8"/>
  <c r="L52" i="8"/>
  <c r="D52" i="8"/>
  <c r="L51" i="8"/>
  <c r="D51" i="8"/>
  <c r="L50" i="8"/>
  <c r="D50" i="8"/>
  <c r="L49" i="8"/>
  <c r="D49" i="8"/>
  <c r="L48" i="8"/>
  <c r="D48" i="8"/>
  <c r="L47" i="8"/>
  <c r="D47" i="8"/>
  <c r="L46" i="8"/>
  <c r="D46" i="8"/>
  <c r="C46" i="8"/>
  <c r="L45" i="8"/>
  <c r="D45" i="8"/>
  <c r="L44" i="8"/>
  <c r="D44" i="8"/>
  <c r="L43" i="8"/>
  <c r="D43" i="8"/>
  <c r="C43" i="8"/>
  <c r="L42" i="8"/>
  <c r="D42" i="8"/>
  <c r="L41" i="8"/>
  <c r="L8" i="8"/>
  <c r="D41" i="8"/>
  <c r="L40" i="8"/>
  <c r="D40" i="8"/>
  <c r="L39" i="8"/>
  <c r="I39" i="8"/>
  <c r="H39" i="8"/>
  <c r="F39" i="8"/>
  <c r="D39" i="8"/>
  <c r="B39" i="8"/>
  <c r="O39" i="8"/>
  <c r="C39" i="8"/>
  <c r="L38" i="8"/>
  <c r="I38" i="8"/>
  <c r="H38" i="8"/>
  <c r="G38" i="8"/>
  <c r="G29" i="8"/>
  <c r="G30" i="8"/>
  <c r="G31" i="8"/>
  <c r="G32" i="8"/>
  <c r="F38" i="8"/>
  <c r="E38" i="8"/>
  <c r="D38" i="8"/>
  <c r="B38" i="8"/>
  <c r="O38" i="8"/>
  <c r="C38" i="8"/>
  <c r="L37" i="8"/>
  <c r="I37" i="8"/>
  <c r="O37" i="8"/>
  <c r="H37" i="8"/>
  <c r="F37" i="8"/>
  <c r="E37" i="8"/>
  <c r="D37" i="8"/>
  <c r="B37" i="8"/>
  <c r="C37" i="8"/>
  <c r="L36" i="8"/>
  <c r="I36" i="8"/>
  <c r="O36" i="8"/>
  <c r="H36" i="8"/>
  <c r="F36" i="8"/>
  <c r="E36" i="8"/>
  <c r="D36" i="8"/>
  <c r="B36" i="8"/>
  <c r="C36" i="8"/>
  <c r="L35" i="8"/>
  <c r="I35" i="8"/>
  <c r="H35" i="8"/>
  <c r="F35" i="8"/>
  <c r="D35" i="8"/>
  <c r="B35" i="8"/>
  <c r="O35" i="8"/>
  <c r="L34" i="8"/>
  <c r="I34" i="8"/>
  <c r="H34" i="8"/>
  <c r="F34" i="8"/>
  <c r="E34" i="8"/>
  <c r="D34" i="8"/>
  <c r="B34" i="8"/>
  <c r="C34" i="8"/>
  <c r="L33" i="8"/>
  <c r="I33" i="8"/>
  <c r="H33" i="8"/>
  <c r="F33" i="8"/>
  <c r="E33" i="8"/>
  <c r="E8" i="8"/>
  <c r="D33" i="8"/>
  <c r="B33" i="8"/>
  <c r="O33" i="8"/>
  <c r="C33" i="8"/>
  <c r="L32" i="8"/>
  <c r="I32" i="8"/>
  <c r="H32" i="8"/>
  <c r="F32" i="8"/>
  <c r="E32" i="8"/>
  <c r="D32" i="8"/>
  <c r="B32" i="8"/>
  <c r="C32" i="8"/>
  <c r="L31" i="8"/>
  <c r="I31" i="8"/>
  <c r="H31" i="8"/>
  <c r="F31" i="8"/>
  <c r="E31" i="8"/>
  <c r="D31" i="8"/>
  <c r="B31" i="8"/>
  <c r="C31" i="8"/>
  <c r="S27" i="8"/>
  <c r="S26" i="8"/>
  <c r="S25" i="8"/>
  <c r="S24" i="8"/>
  <c r="S23" i="8"/>
  <c r="S22" i="8"/>
  <c r="S21" i="8"/>
  <c r="S20" i="8"/>
  <c r="S19" i="8"/>
  <c r="S18" i="8"/>
  <c r="S17" i="8"/>
  <c r="S16" i="8"/>
  <c r="S15" i="8"/>
  <c r="S14" i="8"/>
  <c r="S13" i="8"/>
  <c r="S12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W156" i="2"/>
  <c r="AW155" i="2"/>
  <c r="AW154" i="2"/>
  <c r="AW153" i="2"/>
  <c r="AW152" i="2"/>
  <c r="AW151" i="2"/>
  <c r="AW150" i="2"/>
  <c r="AW149" i="2"/>
  <c r="AW148" i="2"/>
  <c r="AW147" i="2"/>
  <c r="AW146" i="2"/>
  <c r="AW145" i="2"/>
  <c r="Z90" i="5"/>
  <c r="Y90" i="5"/>
  <c r="F93" i="5"/>
  <c r="F92" i="5"/>
  <c r="F91" i="5"/>
  <c r="F90" i="5"/>
  <c r="N58" i="5"/>
  <c r="N59" i="5"/>
  <c r="N60" i="5"/>
  <c r="N61" i="5"/>
  <c r="L62" i="5"/>
  <c r="K98" i="5"/>
  <c r="K99" i="5"/>
  <c r="K100" i="5"/>
  <c r="K101" i="5"/>
  <c r="G90" i="5"/>
  <c r="H90" i="5"/>
  <c r="M126" i="5"/>
  <c r="M125" i="5"/>
  <c r="M124" i="5"/>
  <c r="M123" i="5"/>
  <c r="M122" i="5"/>
  <c r="M133" i="5"/>
  <c r="M121" i="5"/>
  <c r="AT102" i="2"/>
  <c r="AV102" i="2"/>
  <c r="AT113" i="2"/>
  <c r="I156" i="2"/>
  <c r="I97" i="5"/>
  <c r="I155" i="2"/>
  <c r="I96" i="5"/>
  <c r="I154" i="2"/>
  <c r="I95" i="5"/>
  <c r="I153" i="2"/>
  <c r="I94" i="5"/>
  <c r="M156" i="2"/>
  <c r="M97" i="5"/>
  <c r="M155" i="2"/>
  <c r="M96" i="5"/>
  <c r="M154" i="2"/>
  <c r="M95" i="5"/>
  <c r="M153" i="2"/>
  <c r="M94" i="5"/>
  <c r="L152" i="2"/>
  <c r="L93" i="5"/>
  <c r="L151" i="2"/>
  <c r="L92" i="5"/>
  <c r="L150" i="2"/>
  <c r="L91" i="5"/>
  <c r="L149" i="2"/>
  <c r="L90" i="5"/>
  <c r="N152" i="2"/>
  <c r="N93" i="5"/>
  <c r="M152" i="2"/>
  <c r="M93" i="5"/>
  <c r="I152" i="2"/>
  <c r="I93" i="5"/>
  <c r="N151" i="2"/>
  <c r="N92" i="5"/>
  <c r="M151" i="2"/>
  <c r="M92" i="5"/>
  <c r="I151" i="2"/>
  <c r="I92" i="5"/>
  <c r="N150" i="2"/>
  <c r="N91" i="5"/>
  <c r="M150" i="2"/>
  <c r="M91" i="5"/>
  <c r="I150" i="2"/>
  <c r="I149" i="2"/>
  <c r="I90" i="5"/>
  <c r="N149" i="2"/>
  <c r="N90" i="5"/>
  <c r="M149" i="2"/>
  <c r="M90" i="5"/>
  <c r="J150" i="2"/>
  <c r="J91" i="5"/>
  <c r="J149" i="2"/>
  <c r="J90" i="5"/>
  <c r="U150" i="2"/>
  <c r="U91" i="5"/>
  <c r="T150" i="2"/>
  <c r="T91" i="5"/>
  <c r="U149" i="2"/>
  <c r="U90" i="5"/>
  <c r="T149" i="2"/>
  <c r="T90" i="5"/>
  <c r="L146" i="2"/>
  <c r="L87" i="5"/>
  <c r="M146" i="2"/>
  <c r="M87" i="5"/>
  <c r="N146" i="2"/>
  <c r="N87" i="5"/>
  <c r="L147" i="2"/>
  <c r="L88" i="5"/>
  <c r="M147" i="2"/>
  <c r="M88" i="5"/>
  <c r="N147" i="2"/>
  <c r="N88" i="5"/>
  <c r="L148" i="2"/>
  <c r="L89" i="5"/>
  <c r="M148" i="2"/>
  <c r="M89" i="5"/>
  <c r="N148" i="2"/>
  <c r="N89" i="5"/>
  <c r="N145" i="2"/>
  <c r="N86" i="5"/>
  <c r="M145" i="2"/>
  <c r="M86" i="5"/>
  <c r="L145" i="2"/>
  <c r="J152" i="2"/>
  <c r="J93" i="5"/>
  <c r="J151" i="2"/>
  <c r="J92" i="5"/>
  <c r="J148" i="2"/>
  <c r="J89" i="5"/>
  <c r="I148" i="2"/>
  <c r="I89" i="5"/>
  <c r="J147" i="2"/>
  <c r="J88" i="5"/>
  <c r="I147" i="2"/>
  <c r="I88" i="5"/>
  <c r="J146" i="2"/>
  <c r="J87" i="5"/>
  <c r="I146" i="2"/>
  <c r="I87" i="5"/>
  <c r="J145" i="2"/>
  <c r="J86" i="5"/>
  <c r="I145" i="2"/>
  <c r="I86" i="5"/>
  <c r="U152" i="2"/>
  <c r="U93" i="5"/>
  <c r="U151" i="2"/>
  <c r="U92" i="5"/>
  <c r="U145" i="2"/>
  <c r="U86" i="5"/>
  <c r="U153" i="2"/>
  <c r="U94" i="5"/>
  <c r="U154" i="2"/>
  <c r="U95" i="5"/>
  <c r="U155" i="2"/>
  <c r="U96" i="5"/>
  <c r="U156" i="2"/>
  <c r="U97" i="5"/>
  <c r="T152" i="2"/>
  <c r="T93" i="5"/>
  <c r="AS152" i="2"/>
  <c r="T151" i="2"/>
  <c r="AS151" i="2"/>
  <c r="T145" i="2"/>
  <c r="T86" i="5"/>
  <c r="L65" i="5"/>
  <c r="L64" i="5"/>
  <c r="L63" i="5"/>
  <c r="C63" i="5"/>
  <c r="C62" i="5"/>
  <c r="F62" i="5"/>
  <c r="G62" i="5"/>
  <c r="H62" i="5"/>
  <c r="W62" i="5"/>
  <c r="X62" i="5"/>
  <c r="Y62" i="5"/>
  <c r="Z62" i="5"/>
  <c r="F63" i="5"/>
  <c r="F64" i="5"/>
  <c r="F65" i="5"/>
  <c r="C86" i="5"/>
  <c r="G98" i="5"/>
  <c r="H98" i="5"/>
  <c r="U98" i="5"/>
  <c r="W98" i="5"/>
  <c r="Y98" i="5"/>
  <c r="Z98" i="5"/>
  <c r="U99" i="5"/>
  <c r="U100" i="5"/>
  <c r="U101" i="5"/>
  <c r="F99" i="5"/>
  <c r="F100" i="5"/>
  <c r="F101" i="5"/>
  <c r="F98" i="5"/>
  <c r="C95" i="5"/>
  <c r="C94" i="5"/>
  <c r="C91" i="5"/>
  <c r="C90" i="5"/>
  <c r="C87" i="5"/>
  <c r="G86" i="5"/>
  <c r="H86" i="5"/>
  <c r="V86" i="5"/>
  <c r="W86" i="5"/>
  <c r="X86" i="5"/>
  <c r="Y86" i="5"/>
  <c r="Z86" i="5"/>
  <c r="V87" i="5"/>
  <c r="V88" i="5"/>
  <c r="V89" i="5"/>
  <c r="G94" i="5"/>
  <c r="H94" i="5"/>
  <c r="V94" i="5"/>
  <c r="W94" i="5"/>
  <c r="X94" i="5"/>
  <c r="Y94" i="5"/>
  <c r="Z94" i="5"/>
  <c r="V95" i="5"/>
  <c r="V96" i="5"/>
  <c r="V97" i="5"/>
  <c r="F86" i="5"/>
  <c r="F87" i="5"/>
  <c r="F88" i="5"/>
  <c r="F89" i="5"/>
  <c r="F94" i="5"/>
  <c r="F95" i="5"/>
  <c r="F96" i="5"/>
  <c r="F97" i="5"/>
  <c r="C82" i="5"/>
  <c r="C74" i="5"/>
  <c r="C70" i="5"/>
  <c r="G70" i="5"/>
  <c r="H70" i="5"/>
  <c r="K70" i="5"/>
  <c r="W70" i="5"/>
  <c r="X70" i="5"/>
  <c r="Y70" i="5"/>
  <c r="Z70" i="5"/>
  <c r="AA70" i="5"/>
  <c r="AB70" i="5"/>
  <c r="AC70" i="5"/>
  <c r="AD70" i="5"/>
  <c r="K71" i="5"/>
  <c r="AA71" i="5"/>
  <c r="AB71" i="5"/>
  <c r="AC71" i="5"/>
  <c r="AD71" i="5"/>
  <c r="K72" i="5"/>
  <c r="U72" i="5"/>
  <c r="AA72" i="5"/>
  <c r="AB72" i="5"/>
  <c r="AC72" i="5"/>
  <c r="AD72" i="5"/>
  <c r="K73" i="5"/>
  <c r="AA73" i="5"/>
  <c r="AB73" i="5"/>
  <c r="AC73" i="5"/>
  <c r="AD73" i="5"/>
  <c r="G74" i="5"/>
  <c r="H74" i="5"/>
  <c r="K74" i="5"/>
  <c r="U74" i="5"/>
  <c r="W74" i="5"/>
  <c r="X74" i="5"/>
  <c r="Y74" i="5"/>
  <c r="Z74" i="5"/>
  <c r="AA74" i="5"/>
  <c r="AB74" i="5"/>
  <c r="AC74" i="5"/>
  <c r="AD74" i="5"/>
  <c r="K75" i="5"/>
  <c r="AA75" i="5"/>
  <c r="AB75" i="5"/>
  <c r="AC75" i="5"/>
  <c r="AD75" i="5"/>
  <c r="K76" i="5"/>
  <c r="U76" i="5"/>
  <c r="AA76" i="5"/>
  <c r="AB76" i="5"/>
  <c r="AC76" i="5"/>
  <c r="AD76" i="5"/>
  <c r="K77" i="5"/>
  <c r="U77" i="5"/>
  <c r="AA77" i="5"/>
  <c r="AB77" i="5"/>
  <c r="AC77" i="5"/>
  <c r="AD77" i="5"/>
  <c r="G82" i="5"/>
  <c r="H82" i="5"/>
  <c r="K82" i="5"/>
  <c r="W82" i="5"/>
  <c r="X82" i="5"/>
  <c r="Y82" i="5"/>
  <c r="Z82" i="5"/>
  <c r="AA82" i="5"/>
  <c r="AB82" i="5"/>
  <c r="AC82" i="5"/>
  <c r="K83" i="5"/>
  <c r="AA83" i="5"/>
  <c r="AB83" i="5"/>
  <c r="AC83" i="5"/>
  <c r="K84" i="5"/>
  <c r="AA84" i="5"/>
  <c r="AB84" i="5"/>
  <c r="AC84" i="5"/>
  <c r="K85" i="5"/>
  <c r="AA85" i="5"/>
  <c r="AB85" i="5"/>
  <c r="AC85" i="5"/>
  <c r="F71" i="5"/>
  <c r="F72" i="5"/>
  <c r="F73" i="5"/>
  <c r="F74" i="5"/>
  <c r="F75" i="5"/>
  <c r="F76" i="5"/>
  <c r="F77" i="5"/>
  <c r="F82" i="5"/>
  <c r="F83" i="5"/>
  <c r="F84" i="5"/>
  <c r="F85" i="5"/>
  <c r="F70" i="5"/>
  <c r="C66" i="5"/>
  <c r="G66" i="5"/>
  <c r="H66" i="5"/>
  <c r="K66" i="5"/>
  <c r="W66" i="5"/>
  <c r="X66" i="5"/>
  <c r="Y66" i="5"/>
  <c r="Z66" i="5"/>
  <c r="K67" i="5"/>
  <c r="K68" i="5"/>
  <c r="K69" i="5"/>
  <c r="F67" i="5"/>
  <c r="F68" i="5"/>
  <c r="F69" i="5"/>
  <c r="F66" i="5"/>
  <c r="C59" i="5"/>
  <c r="C58" i="5"/>
  <c r="C54" i="5"/>
  <c r="C50" i="5"/>
  <c r="C46" i="5"/>
  <c r="C42" i="5"/>
  <c r="C34" i="5"/>
  <c r="C30" i="5"/>
  <c r="C26" i="5"/>
  <c r="C22" i="5"/>
  <c r="C18" i="5"/>
  <c r="C14" i="5"/>
  <c r="G58" i="5"/>
  <c r="H58" i="5"/>
  <c r="W58" i="5"/>
  <c r="X58" i="5"/>
  <c r="Y58" i="5"/>
  <c r="Z58" i="5"/>
  <c r="F59" i="5"/>
  <c r="F60" i="5"/>
  <c r="F61" i="5"/>
  <c r="F58" i="5"/>
  <c r="G42" i="5"/>
  <c r="H42" i="5"/>
  <c r="K42" i="5"/>
  <c r="W42" i="5"/>
  <c r="X42" i="5"/>
  <c r="Y42" i="5"/>
  <c r="Z42" i="5"/>
  <c r="AA42" i="5"/>
  <c r="AB42" i="5"/>
  <c r="AC42" i="5"/>
  <c r="AD42" i="5"/>
  <c r="K43" i="5"/>
  <c r="AA43" i="5"/>
  <c r="AB43" i="5"/>
  <c r="AC43" i="5"/>
  <c r="AD43" i="5"/>
  <c r="K44" i="5"/>
  <c r="AA44" i="5"/>
  <c r="AB44" i="5"/>
  <c r="AC44" i="5"/>
  <c r="AD44" i="5"/>
  <c r="K45" i="5"/>
  <c r="AA45" i="5"/>
  <c r="AB45" i="5"/>
  <c r="AC45" i="5"/>
  <c r="AD45" i="5"/>
  <c r="G46" i="5"/>
  <c r="H46" i="5"/>
  <c r="K46" i="5"/>
  <c r="P46" i="5"/>
  <c r="V46" i="5"/>
  <c r="W46" i="5"/>
  <c r="X46" i="5"/>
  <c r="Y46" i="5"/>
  <c r="Z46" i="5"/>
  <c r="AA46" i="5"/>
  <c r="AB46" i="5"/>
  <c r="AC46" i="5"/>
  <c r="AD46" i="5"/>
  <c r="K47" i="5"/>
  <c r="P47" i="5"/>
  <c r="V47" i="5"/>
  <c r="AA47" i="5"/>
  <c r="AB47" i="5"/>
  <c r="AC47" i="5"/>
  <c r="AD47" i="5"/>
  <c r="K48" i="5"/>
  <c r="P48" i="5"/>
  <c r="V48" i="5"/>
  <c r="AA48" i="5"/>
  <c r="AB48" i="5"/>
  <c r="AC48" i="5"/>
  <c r="AD48" i="5"/>
  <c r="K49" i="5"/>
  <c r="P49" i="5"/>
  <c r="V49" i="5"/>
  <c r="AA49" i="5"/>
  <c r="AB49" i="5"/>
  <c r="AC49" i="5"/>
  <c r="AD49" i="5"/>
  <c r="G50" i="5"/>
  <c r="H50" i="5"/>
  <c r="K50" i="5"/>
  <c r="W50" i="5"/>
  <c r="X50" i="5"/>
  <c r="Y50" i="5"/>
  <c r="Z50" i="5"/>
  <c r="AA50" i="5"/>
  <c r="AC50" i="5"/>
  <c r="AD50" i="5"/>
  <c r="K51" i="5"/>
  <c r="AA51" i="5"/>
  <c r="AC51" i="5"/>
  <c r="AD51" i="5"/>
  <c r="K52" i="5"/>
  <c r="AA52" i="5"/>
  <c r="AC52" i="5"/>
  <c r="AD52" i="5"/>
  <c r="K53" i="5"/>
  <c r="AA53" i="5"/>
  <c r="AC53" i="5"/>
  <c r="AD53" i="5"/>
  <c r="G54" i="5"/>
  <c r="H54" i="5"/>
  <c r="K54" i="5"/>
  <c r="W54" i="5"/>
  <c r="X54" i="5"/>
  <c r="Y54" i="5"/>
  <c r="Z54" i="5"/>
  <c r="AA54" i="5"/>
  <c r="AB54" i="5"/>
  <c r="AC54" i="5"/>
  <c r="AD54" i="5"/>
  <c r="K55" i="5"/>
  <c r="AA55" i="5"/>
  <c r="AB55" i="5"/>
  <c r="AC55" i="5"/>
  <c r="AD55" i="5"/>
  <c r="K56" i="5"/>
  <c r="AA56" i="5"/>
  <c r="AB56" i="5"/>
  <c r="AC56" i="5"/>
  <c r="AD56" i="5"/>
  <c r="K57" i="5"/>
  <c r="AA57" i="5"/>
  <c r="AB57" i="5"/>
  <c r="AC57" i="5"/>
  <c r="AD57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42" i="5"/>
  <c r="G34" i="5"/>
  <c r="H34" i="5"/>
  <c r="K34" i="5"/>
  <c r="P34" i="5"/>
  <c r="W34" i="5"/>
  <c r="X34" i="5"/>
  <c r="Y34" i="5"/>
  <c r="Z34" i="5"/>
  <c r="AA34" i="5"/>
  <c r="AB34" i="5"/>
  <c r="AC34" i="5"/>
  <c r="K35" i="5"/>
  <c r="P35" i="5"/>
  <c r="AA35" i="5"/>
  <c r="AB35" i="5"/>
  <c r="AC35" i="5"/>
  <c r="K36" i="5"/>
  <c r="P36" i="5"/>
  <c r="AA36" i="5"/>
  <c r="AB36" i="5"/>
  <c r="AC36" i="5"/>
  <c r="K37" i="5"/>
  <c r="P37" i="5"/>
  <c r="AA37" i="5"/>
  <c r="AB37" i="5"/>
  <c r="AC37" i="5"/>
  <c r="F35" i="5"/>
  <c r="F36" i="5"/>
  <c r="F37" i="5"/>
  <c r="F39" i="5"/>
  <c r="F40" i="5"/>
  <c r="F41" i="5"/>
  <c r="F34" i="5"/>
  <c r="G26" i="5"/>
  <c r="H26" i="5"/>
  <c r="K26" i="5"/>
  <c r="P26" i="5"/>
  <c r="S26" i="5"/>
  <c r="W26" i="5"/>
  <c r="X26" i="5"/>
  <c r="Y26" i="5"/>
  <c r="Z26" i="5"/>
  <c r="AA26" i="5"/>
  <c r="AB26" i="5"/>
  <c r="AC26" i="5"/>
  <c r="K27" i="5"/>
  <c r="P27" i="5"/>
  <c r="S27" i="5"/>
  <c r="AA27" i="5"/>
  <c r="AB27" i="5"/>
  <c r="AC27" i="5"/>
  <c r="K28" i="5"/>
  <c r="P28" i="5"/>
  <c r="S28" i="5"/>
  <c r="AA28" i="5"/>
  <c r="AB28" i="5"/>
  <c r="AC28" i="5"/>
  <c r="K29" i="5"/>
  <c r="P29" i="5"/>
  <c r="S29" i="5"/>
  <c r="AA29" i="5"/>
  <c r="AB29" i="5"/>
  <c r="AC29" i="5"/>
  <c r="G30" i="5"/>
  <c r="H30" i="5"/>
  <c r="K30" i="5"/>
  <c r="W30" i="5"/>
  <c r="X30" i="5"/>
  <c r="Y30" i="5"/>
  <c r="Z30" i="5"/>
  <c r="AA30" i="5"/>
  <c r="AB30" i="5"/>
  <c r="AC30" i="5"/>
  <c r="K31" i="5"/>
  <c r="AA31" i="5"/>
  <c r="AB31" i="5"/>
  <c r="AC31" i="5"/>
  <c r="K32" i="5"/>
  <c r="AA32" i="5"/>
  <c r="AB32" i="5"/>
  <c r="AC32" i="5"/>
  <c r="K33" i="5"/>
  <c r="AA33" i="5"/>
  <c r="AB33" i="5"/>
  <c r="AC33" i="5"/>
  <c r="F27" i="5"/>
  <c r="F28" i="5"/>
  <c r="F29" i="5"/>
  <c r="F30" i="5"/>
  <c r="F31" i="5"/>
  <c r="F32" i="5"/>
  <c r="F33" i="5"/>
  <c r="F26" i="5"/>
  <c r="G18" i="5"/>
  <c r="H18" i="5"/>
  <c r="K18" i="5"/>
  <c r="P18" i="5"/>
  <c r="W18" i="5"/>
  <c r="X18" i="5"/>
  <c r="Y18" i="5"/>
  <c r="Z18" i="5"/>
  <c r="AA18" i="5"/>
  <c r="AB18" i="5"/>
  <c r="AC18" i="5"/>
  <c r="K19" i="5"/>
  <c r="P19" i="5"/>
  <c r="AA19" i="5"/>
  <c r="AB19" i="5"/>
  <c r="AC19" i="5"/>
  <c r="K20" i="5"/>
  <c r="P20" i="5"/>
  <c r="AA20" i="5"/>
  <c r="AB20" i="5"/>
  <c r="AC20" i="5"/>
  <c r="K21" i="5"/>
  <c r="P21" i="5"/>
  <c r="AA21" i="5"/>
  <c r="AB21" i="5"/>
  <c r="AC21" i="5"/>
  <c r="G22" i="5"/>
  <c r="H22" i="5"/>
  <c r="K22" i="5"/>
  <c r="P22" i="5"/>
  <c r="U22" i="5"/>
  <c r="W22" i="5"/>
  <c r="X22" i="5"/>
  <c r="Y22" i="5"/>
  <c r="Z22" i="5"/>
  <c r="AA22" i="5"/>
  <c r="AB22" i="5"/>
  <c r="K23" i="5"/>
  <c r="P23" i="5"/>
  <c r="U23" i="5"/>
  <c r="AA23" i="5"/>
  <c r="AB23" i="5"/>
  <c r="K24" i="5"/>
  <c r="P24" i="5"/>
  <c r="U24" i="5"/>
  <c r="AA24" i="5"/>
  <c r="AB24" i="5"/>
  <c r="K25" i="5"/>
  <c r="P25" i="5"/>
  <c r="U25" i="5"/>
  <c r="AA25" i="5"/>
  <c r="AB25" i="5"/>
  <c r="F18" i="5"/>
  <c r="F19" i="5"/>
  <c r="F20" i="5"/>
  <c r="F21" i="5"/>
  <c r="F22" i="5"/>
  <c r="F23" i="5"/>
  <c r="F24" i="5"/>
  <c r="F25" i="5"/>
  <c r="G14" i="5"/>
  <c r="H14" i="5"/>
  <c r="K14" i="5"/>
  <c r="P14" i="5"/>
  <c r="W14" i="5"/>
  <c r="X14" i="5"/>
  <c r="Y14" i="5"/>
  <c r="Z14" i="5"/>
  <c r="AA14" i="5"/>
  <c r="AB14" i="5"/>
  <c r="AC14" i="5"/>
  <c r="K15" i="5"/>
  <c r="P15" i="5"/>
  <c r="AA15" i="5"/>
  <c r="AB15" i="5"/>
  <c r="AC15" i="5"/>
  <c r="K16" i="5"/>
  <c r="P16" i="5"/>
  <c r="AA16" i="5"/>
  <c r="AB16" i="5"/>
  <c r="AC16" i="5"/>
  <c r="K17" i="5"/>
  <c r="P17" i="5"/>
  <c r="AA17" i="5"/>
  <c r="AB17" i="5"/>
  <c r="AC17" i="5"/>
  <c r="F15" i="5"/>
  <c r="F16" i="5"/>
  <c r="F17" i="5"/>
  <c r="F14" i="5"/>
  <c r="T154" i="2"/>
  <c r="AS154" i="2"/>
  <c r="T155" i="2"/>
  <c r="T96" i="5"/>
  <c r="T156" i="2"/>
  <c r="T97" i="5"/>
  <c r="T153" i="2"/>
  <c r="T94" i="5"/>
  <c r="L154" i="2"/>
  <c r="L95" i="5"/>
  <c r="L155" i="2"/>
  <c r="K155" i="2"/>
  <c r="K96" i="5"/>
  <c r="L96" i="5"/>
  <c r="L156" i="2"/>
  <c r="L97" i="5"/>
  <c r="L153" i="2"/>
  <c r="R13" i="6"/>
  <c r="Q13" i="6"/>
  <c r="P13" i="6"/>
  <c r="L13" i="6"/>
  <c r="M13" i="6"/>
  <c r="K13" i="6"/>
  <c r="R12" i="6"/>
  <c r="Q12" i="6"/>
  <c r="P12" i="6"/>
  <c r="L12" i="6"/>
  <c r="M12" i="6"/>
  <c r="K12" i="6"/>
  <c r="R11" i="6"/>
  <c r="Q11" i="6"/>
  <c r="P11" i="6"/>
  <c r="L11" i="6"/>
  <c r="M11" i="6"/>
  <c r="K11" i="6"/>
  <c r="R10" i="6"/>
  <c r="Q10" i="6"/>
  <c r="P10" i="6"/>
  <c r="L10" i="6"/>
  <c r="M10" i="6"/>
  <c r="K10" i="6"/>
  <c r="L9" i="6"/>
  <c r="K9" i="6"/>
  <c r="L8" i="6"/>
  <c r="K8" i="6"/>
  <c r="L7" i="6"/>
  <c r="K7" i="6"/>
  <c r="L6" i="6"/>
  <c r="K6" i="6"/>
  <c r="P32" i="5"/>
  <c r="P33" i="5"/>
  <c r="P31" i="5"/>
  <c r="P42" i="5"/>
  <c r="P50" i="5"/>
  <c r="P30" i="5"/>
  <c r="P56" i="5"/>
  <c r="V160" i="2"/>
  <c r="V101" i="5"/>
  <c r="V159" i="2"/>
  <c r="V100" i="5"/>
  <c r="V158" i="2"/>
  <c r="V99" i="5"/>
  <c r="V157" i="2"/>
  <c r="V98" i="5"/>
  <c r="V76" i="5"/>
  <c r="AW134" i="2"/>
  <c r="T76" i="5"/>
  <c r="T75" i="5"/>
  <c r="V71" i="5"/>
  <c r="V70" i="5"/>
  <c r="T72" i="5"/>
  <c r="T73" i="5"/>
  <c r="V68" i="5"/>
  <c r="V66" i="5"/>
  <c r="U67" i="5"/>
  <c r="U68" i="5"/>
  <c r="T69" i="5"/>
  <c r="AS123" i="2"/>
  <c r="T67" i="5"/>
  <c r="AT101" i="2"/>
  <c r="AV101" i="2"/>
  <c r="AT100" i="2"/>
  <c r="AV100" i="2"/>
  <c r="AT99" i="2"/>
  <c r="AD54" i="2"/>
  <c r="AD53" i="2"/>
  <c r="AD52" i="2"/>
  <c r="AD51" i="2"/>
  <c r="AD16" i="2"/>
  <c r="AD17" i="2"/>
  <c r="AD18" i="2"/>
  <c r="AD15" i="2"/>
  <c r="P44" i="5"/>
  <c r="O46" i="5"/>
  <c r="Q46" i="5"/>
  <c r="V45" i="5"/>
  <c r="U50" i="5"/>
  <c r="Q53" i="2"/>
  <c r="O53" i="2"/>
  <c r="BA53" i="2"/>
  <c r="BB53" i="2"/>
  <c r="AS51" i="2"/>
  <c r="AS136" i="2"/>
  <c r="T52" i="5"/>
  <c r="Q81" i="2"/>
  <c r="Q52" i="5"/>
  <c r="P52" i="5"/>
  <c r="P45" i="5"/>
  <c r="R26" i="5"/>
  <c r="AS121" i="2"/>
  <c r="T66" i="5"/>
  <c r="V75" i="5"/>
  <c r="M120" i="2"/>
  <c r="K120" i="2"/>
  <c r="K65" i="5"/>
  <c r="P57" i="5"/>
  <c r="AW86" i="2"/>
  <c r="C53" i="8"/>
  <c r="U54" i="5"/>
  <c r="V67" i="5"/>
  <c r="AW122" i="2"/>
  <c r="AS122" i="2"/>
  <c r="C44" i="8"/>
  <c r="AW124" i="2"/>
  <c r="C50" i="8"/>
  <c r="AW123" i="2"/>
  <c r="C45" i="8"/>
  <c r="P43" i="5"/>
  <c r="Q68" i="2"/>
  <c r="Q43" i="5"/>
  <c r="AS134" i="2"/>
  <c r="AW121" i="2"/>
  <c r="AS94" i="2"/>
  <c r="AU94" i="2"/>
  <c r="BC94" i="2"/>
  <c r="Q45" i="5"/>
  <c r="O45" i="5"/>
  <c r="AW118" i="2"/>
  <c r="R27" i="5"/>
  <c r="M117" i="2"/>
  <c r="K117" i="2"/>
  <c r="K62" i="5"/>
  <c r="U18" i="5"/>
  <c r="I17" i="15"/>
  <c r="H22" i="15"/>
  <c r="U16" i="5"/>
  <c r="BB144" i="2"/>
  <c r="AS34" i="2"/>
  <c r="R28" i="5"/>
  <c r="K150" i="2"/>
  <c r="K91" i="5"/>
  <c r="H18" i="14"/>
  <c r="X18" i="14"/>
  <c r="Z18" i="14"/>
  <c r="H18" i="15"/>
  <c r="O55" i="8"/>
  <c r="O42" i="8"/>
  <c r="C61" i="8"/>
  <c r="AS30" i="2"/>
  <c r="Q47" i="5"/>
  <c r="H19" i="14"/>
  <c r="X19" i="14"/>
  <c r="Z19" i="14"/>
  <c r="O49" i="8"/>
  <c r="O48" i="8"/>
  <c r="O44" i="8"/>
  <c r="H8" i="8"/>
  <c r="O56" i="8"/>
  <c r="O43" i="8"/>
  <c r="C49" i="8"/>
  <c r="N64" i="5"/>
  <c r="L61" i="5"/>
  <c r="M116" i="2"/>
  <c r="K116" i="2"/>
  <c r="M61" i="5"/>
  <c r="L58" i="5"/>
  <c r="O47" i="8"/>
  <c r="G33" i="8"/>
  <c r="O40" i="8"/>
  <c r="T27" i="5"/>
  <c r="L60" i="5"/>
  <c r="M115" i="2"/>
  <c r="M113" i="2"/>
  <c r="M58" i="5"/>
  <c r="K154" i="2"/>
  <c r="K95" i="5"/>
  <c r="Q50" i="5"/>
  <c r="T23" i="5"/>
  <c r="Q16" i="5"/>
  <c r="AS146" i="2"/>
  <c r="T34" i="5"/>
  <c r="Q35" i="5"/>
  <c r="AW49" i="2"/>
  <c r="AS141" i="2"/>
  <c r="AS118" i="2"/>
  <c r="BB87" i="2"/>
  <c r="AW50" i="2"/>
  <c r="T24" i="5"/>
  <c r="Q42" i="5"/>
  <c r="V18" i="5"/>
  <c r="Q30" i="5"/>
  <c r="V31" i="5"/>
  <c r="V35" i="5"/>
  <c r="AW117" i="2"/>
  <c r="AS38" i="2"/>
  <c r="AW158" i="2"/>
  <c r="AS143" i="2"/>
  <c r="BA23" i="2"/>
  <c r="I15" i="15"/>
  <c r="V52" i="5"/>
  <c r="Z23" i="14"/>
  <c r="T92" i="5"/>
  <c r="Q34" i="5"/>
  <c r="O25" i="5"/>
  <c r="AS153" i="2"/>
  <c r="AS144" i="2"/>
  <c r="AS45" i="2"/>
  <c r="BB90" i="2"/>
  <c r="Q51" i="5"/>
  <c r="O80" i="2"/>
  <c r="J21" i="15"/>
  <c r="T59" i="5"/>
  <c r="AW130" i="2"/>
  <c r="AW43" i="2"/>
  <c r="J20" i="14"/>
  <c r="AB20" i="14"/>
  <c r="P51" i="5"/>
  <c r="AS85" i="2"/>
  <c r="R29" i="5"/>
  <c r="P55" i="5"/>
  <c r="K153" i="2"/>
  <c r="K94" i="5"/>
  <c r="N63" i="5"/>
  <c r="BB95" i="2"/>
  <c r="AV95" i="2"/>
  <c r="BB94" i="2"/>
  <c r="V20" i="5"/>
  <c r="AW31" i="2"/>
  <c r="AW34" i="2"/>
  <c r="AW84" i="2"/>
  <c r="AS145" i="2"/>
  <c r="AW33" i="2"/>
  <c r="I22" i="15"/>
  <c r="V84" i="5"/>
  <c r="T55" i="5"/>
  <c r="V26" i="5"/>
  <c r="U21" i="5"/>
  <c r="O34" i="2"/>
  <c r="BA34" i="2"/>
  <c r="O19" i="5"/>
  <c r="P53" i="5"/>
  <c r="K152" i="2"/>
  <c r="K93" i="5"/>
  <c r="AS159" i="2"/>
  <c r="O82" i="2"/>
  <c r="BA82" i="2"/>
  <c r="Q53" i="5"/>
  <c r="L94" i="5"/>
  <c r="I91" i="5"/>
  <c r="AS49" i="2"/>
  <c r="BA18" i="2"/>
  <c r="AV16" i="2"/>
  <c r="T16" i="5"/>
  <c r="K148" i="2"/>
  <c r="K89" i="5"/>
  <c r="O68" i="2"/>
  <c r="BA68" i="2"/>
  <c r="AW144" i="2"/>
  <c r="BA15" i="2"/>
  <c r="P54" i="5"/>
  <c r="AS68" i="2"/>
  <c r="BA16" i="2"/>
  <c r="V24" i="5"/>
  <c r="AS130" i="2"/>
  <c r="AS44" i="2"/>
  <c r="T101" i="5"/>
  <c r="AS135" i="2"/>
  <c r="T88" i="5"/>
  <c r="T20" i="5"/>
  <c r="T46" i="5"/>
  <c r="AW135" i="2"/>
  <c r="AW129" i="2"/>
  <c r="V58" i="5"/>
  <c r="T21" i="5"/>
  <c r="AW38" i="2"/>
  <c r="BB88" i="2"/>
  <c r="AS54" i="2"/>
  <c r="AW53" i="2"/>
  <c r="BA47" i="2"/>
  <c r="AV18" i="2"/>
  <c r="Q33" i="5"/>
  <c r="V74" i="5"/>
  <c r="AW142" i="2"/>
  <c r="V83" i="5"/>
  <c r="T50" i="5"/>
  <c r="AS79" i="2"/>
  <c r="T49" i="5"/>
  <c r="AS74" i="2"/>
  <c r="U48" i="5"/>
  <c r="AS73" i="2"/>
  <c r="BA52" i="2"/>
  <c r="O44" i="2"/>
  <c r="Q31" i="5"/>
  <c r="V73" i="5"/>
  <c r="AW132" i="2"/>
  <c r="AS115" i="2"/>
  <c r="V17" i="5"/>
  <c r="J18" i="15"/>
  <c r="AW30" i="2"/>
  <c r="T83" i="5"/>
  <c r="AS142" i="2"/>
  <c r="O84" i="2"/>
  <c r="Q55" i="5"/>
  <c r="U57" i="5"/>
  <c r="U53" i="5"/>
  <c r="AW79" i="2"/>
  <c r="V50" i="5"/>
  <c r="V33" i="5"/>
  <c r="AW46" i="2"/>
  <c r="V23" i="5"/>
  <c r="AW35" i="2"/>
  <c r="V22" i="5"/>
  <c r="J16" i="14"/>
  <c r="AB16" i="14"/>
  <c r="V14" i="5"/>
  <c r="H20" i="15"/>
  <c r="X20" i="14"/>
  <c r="Z20" i="14"/>
  <c r="AH20" i="14"/>
  <c r="T18" i="5"/>
  <c r="AS31" i="2"/>
  <c r="BB89" i="2"/>
  <c r="T95" i="5"/>
  <c r="I17" i="14"/>
  <c r="AA17" i="14"/>
  <c r="I16" i="15"/>
  <c r="U15" i="5"/>
  <c r="V60" i="5"/>
  <c r="AS86" i="2"/>
  <c r="T57" i="5"/>
  <c r="Q37" i="5"/>
  <c r="AW42" i="2"/>
  <c r="O17" i="5"/>
  <c r="Q17" i="5"/>
  <c r="BB93" i="2"/>
  <c r="H17" i="15"/>
  <c r="I16" i="14"/>
  <c r="AA16" i="14"/>
  <c r="AH16" i="14"/>
  <c r="T62" i="5"/>
  <c r="H16" i="15"/>
  <c r="O37" i="2"/>
  <c r="BA37" i="2"/>
  <c r="AW81" i="2"/>
  <c r="T45" i="5"/>
  <c r="T99" i="5"/>
  <c r="AW114" i="2"/>
  <c r="BA20" i="2"/>
  <c r="BA19" i="2"/>
  <c r="Q57" i="5"/>
  <c r="T44" i="5"/>
  <c r="T30" i="5"/>
  <c r="BA45" i="2"/>
  <c r="AV96" i="2"/>
  <c r="BC96" i="2"/>
  <c r="T33" i="5"/>
  <c r="T14" i="5"/>
  <c r="H16" i="14"/>
  <c r="X16" i="14"/>
  <c r="Z16" i="14"/>
  <c r="Q44" i="5"/>
  <c r="J21" i="14"/>
  <c r="AB21" i="14"/>
  <c r="O28" i="2"/>
  <c r="BA28" i="2"/>
  <c r="Q15" i="5"/>
  <c r="Q32" i="5"/>
  <c r="AW159" i="2"/>
  <c r="AS48" i="2"/>
  <c r="V27" i="5"/>
  <c r="T22" i="5"/>
  <c r="O33" i="2"/>
  <c r="O20" i="5"/>
  <c r="AW67" i="2"/>
  <c r="AS101" i="2"/>
  <c r="O36" i="2"/>
  <c r="O23" i="5"/>
  <c r="Q23" i="5"/>
  <c r="J23" i="14"/>
  <c r="AB23" i="14"/>
  <c r="V21" i="5"/>
  <c r="H21" i="15"/>
  <c r="H22" i="14"/>
  <c r="X22" i="14"/>
  <c r="Z22" i="14"/>
  <c r="AW136" i="2"/>
  <c r="AS155" i="2"/>
  <c r="U51" i="5"/>
  <c r="H15" i="15"/>
  <c r="T15" i="5"/>
  <c r="H17" i="14"/>
  <c r="X17" i="14"/>
  <c r="Z17" i="14"/>
  <c r="U46" i="5"/>
  <c r="V55" i="5"/>
  <c r="V57" i="5"/>
  <c r="O47" i="5"/>
  <c r="AW131" i="2"/>
  <c r="J20" i="15"/>
  <c r="O73" i="2"/>
  <c r="O48" i="5"/>
  <c r="Q48" i="5"/>
  <c r="T47" i="5"/>
  <c r="AS72" i="2"/>
  <c r="AS50" i="2"/>
  <c r="T37" i="5"/>
  <c r="AW47" i="2"/>
  <c r="V34" i="5"/>
  <c r="BA43" i="2"/>
  <c r="T29" i="5"/>
  <c r="V28" i="5"/>
  <c r="AW28" i="2"/>
  <c r="J16" i="15"/>
  <c r="J17" i="14"/>
  <c r="AB17" i="14"/>
  <c r="BA51" i="2"/>
  <c r="O85" i="2"/>
  <c r="O56" i="5"/>
  <c r="BA85" i="2"/>
  <c r="Q56" i="5"/>
  <c r="K61" i="5"/>
  <c r="G34" i="8"/>
  <c r="G35" i="8"/>
  <c r="G36" i="8"/>
  <c r="G37" i="8"/>
  <c r="K113" i="2"/>
  <c r="K58" i="5"/>
  <c r="O21" i="5"/>
  <c r="BA30" i="2"/>
  <c r="O24" i="5"/>
  <c r="BA54" i="2"/>
  <c r="AW83" i="2"/>
  <c r="V54" i="5"/>
  <c r="O37" i="5"/>
  <c r="BA50" i="2"/>
  <c r="O44" i="5"/>
  <c r="BA69" i="2"/>
  <c r="AU20" i="2"/>
  <c r="AT117" i="2"/>
  <c r="AT118" i="2"/>
  <c r="AU117" i="2"/>
  <c r="K151" i="2"/>
  <c r="K92" i="5"/>
  <c r="O49" i="2"/>
  <c r="BA49" i="2"/>
  <c r="Q36" i="5"/>
  <c r="AS39" i="2"/>
  <c r="T26" i="5"/>
  <c r="AS133" i="2"/>
  <c r="T74" i="5"/>
  <c r="T70" i="5"/>
  <c r="AS129" i="2"/>
  <c r="O35" i="5"/>
  <c r="BA31" i="2"/>
  <c r="V65" i="5"/>
  <c r="AW120" i="2"/>
  <c r="O53" i="5"/>
  <c r="BA83" i="2"/>
  <c r="AV97" i="2"/>
  <c r="U20" i="5"/>
  <c r="I21" i="15"/>
  <c r="AS157" i="2"/>
  <c r="T98" i="5"/>
  <c r="K147" i="2"/>
  <c r="K88" i="5"/>
  <c r="Q54" i="5"/>
  <c r="O16" i="5"/>
  <c r="I22" i="14"/>
  <c r="AA22" i="14"/>
  <c r="BA79" i="2"/>
  <c r="Q18" i="5"/>
  <c r="M60" i="5"/>
  <c r="K115" i="2"/>
  <c r="K60" i="5"/>
  <c r="O62" i="2"/>
  <c r="O41" i="5"/>
  <c r="BA62" i="2"/>
  <c r="BB62" i="2"/>
  <c r="AX31" i="2" a="1"/>
  <c r="AX111" i="2" a="1"/>
  <c r="AX44" i="2" a="1"/>
  <c r="AX43" i="2" a="1"/>
  <c r="AX23" i="2" a="1"/>
  <c r="AX37" i="2" a="1"/>
  <c r="AX108" i="2" a="1"/>
  <c r="AX35" i="2" a="1"/>
  <c r="AX69" i="2" a="1"/>
  <c r="AX25" i="2" a="1"/>
  <c r="AX20" i="2" a="1"/>
  <c r="AX77" i="2" a="1"/>
  <c r="AX48" i="2" a="1"/>
  <c r="AX78" i="2" a="1"/>
  <c r="AX79" i="2" a="1"/>
  <c r="AX84" i="2" a="1"/>
  <c r="AX80" i="2" a="1"/>
  <c r="AX21" i="2" a="1"/>
  <c r="AX38" i="2" a="1"/>
  <c r="AX74" i="2" a="1"/>
  <c r="AX82" i="2" a="1"/>
  <c r="AX45" i="2" a="1"/>
  <c r="AX16" i="2" a="1"/>
  <c r="AX17" i="2" a="1"/>
  <c r="AX30" i="2" a="1"/>
  <c r="AX29" i="2" a="1"/>
  <c r="AX41" i="2" a="1"/>
  <c r="AX33" i="2" a="1"/>
  <c r="AX105" i="2" a="1"/>
  <c r="AX112" i="2" a="1"/>
  <c r="AX106" i="2" a="1"/>
  <c r="AX86" i="2" a="1"/>
  <c r="AX19" i="2" a="1"/>
  <c r="AX67" i="2" a="1"/>
  <c r="AX75" i="2" a="1"/>
  <c r="AX110" i="2" a="1"/>
  <c r="AX73" i="2" a="1"/>
  <c r="AX68" i="2" a="1"/>
  <c r="AX81" i="2" a="1"/>
  <c r="AX47" i="2" a="1"/>
  <c r="AX85" i="2" a="1"/>
  <c r="AX66" i="2" a="1"/>
  <c r="AX28" i="2" a="1"/>
  <c r="AX50" i="2" a="1"/>
  <c r="AX36" i="2" a="1"/>
  <c r="AX83" i="2" a="1"/>
  <c r="AX65" i="2" a="1"/>
  <c r="AX40" i="2" a="1"/>
  <c r="AX46" i="2" a="1"/>
  <c r="AX32" i="2" a="1"/>
  <c r="AX76" i="2" a="1"/>
  <c r="AX22" i="2" a="1"/>
  <c r="AX63" i="2" a="1"/>
  <c r="AX18" i="2" a="1"/>
  <c r="AX27" i="2" a="1"/>
  <c r="AX107" i="2" a="1"/>
  <c r="AX49" i="2" a="1"/>
  <c r="AX39" i="2" a="1"/>
  <c r="AX71" i="2" a="1"/>
  <c r="AX34" i="2" a="1"/>
  <c r="AX103" i="2" a="1"/>
  <c r="AX64" i="2" a="1"/>
  <c r="AX26" i="2" a="1"/>
  <c r="AX15" i="2" a="1"/>
  <c r="AX24" i="2" a="1"/>
  <c r="AX42" i="2" a="1"/>
  <c r="AX72" i="2" a="1"/>
  <c r="AX70" i="2" a="1"/>
  <c r="AH22" i="14"/>
  <c r="AV118" i="2"/>
  <c r="AT119" i="2"/>
  <c r="BA41" i="2"/>
  <c r="U19" i="5"/>
  <c r="I20" i="15"/>
  <c r="O38" i="5"/>
  <c r="BA59" i="2"/>
  <c r="BC87" i="2"/>
  <c r="AH21" i="14"/>
  <c r="BB59" i="2"/>
  <c r="BA86" i="2"/>
  <c r="O57" i="5"/>
  <c r="AV20" i="2"/>
  <c r="AT21" i="2"/>
  <c r="O39" i="5"/>
  <c r="BA60" i="2"/>
  <c r="BB60" i="2"/>
  <c r="O35" i="2"/>
  <c r="BA61" i="2"/>
  <c r="O40" i="5"/>
  <c r="BB61" i="2"/>
  <c r="AU18" i="2"/>
  <c r="O55" i="5"/>
  <c r="BA84" i="2"/>
  <c r="AW82" i="2"/>
  <c r="F8" i="8"/>
  <c r="U32" i="5"/>
  <c r="AS149" i="2"/>
  <c r="BA67" i="2"/>
  <c r="AV19" i="2"/>
  <c r="BA40" i="2"/>
  <c r="K156" i="2"/>
  <c r="K97" i="5"/>
  <c r="C35" i="8"/>
  <c r="C8" i="8"/>
  <c r="AW27" i="2"/>
  <c r="J15" i="15"/>
  <c r="O36" i="5"/>
  <c r="BA36" i="2"/>
  <c r="AV17" i="2"/>
  <c r="AU100" i="2"/>
  <c r="BC100" i="2"/>
  <c r="K145" i="2"/>
  <c r="K86" i="5"/>
  <c r="L86" i="5"/>
  <c r="O34" i="8"/>
  <c r="BC92" i="2"/>
  <c r="U43" i="5"/>
  <c r="T51" i="5"/>
  <c r="AS80" i="2"/>
  <c r="BC98" i="2"/>
  <c r="V82" i="5"/>
  <c r="AW141" i="2"/>
  <c r="T58" i="5"/>
  <c r="G8" i="8"/>
  <c r="O28" i="5"/>
  <c r="AS119" i="2"/>
  <c r="AU119" i="2"/>
  <c r="B8" i="8"/>
  <c r="O43" i="5"/>
  <c r="AH17" i="14"/>
  <c r="AH23" i="14"/>
  <c r="BA33" i="2"/>
  <c r="BA73" i="2"/>
  <c r="K114" i="2"/>
  <c r="K59" i="5"/>
  <c r="L59" i="5"/>
  <c r="I114" i="2"/>
  <c r="I59" i="5"/>
  <c r="BB54" i="2"/>
  <c r="BA24" i="2"/>
  <c r="AU19" i="2"/>
  <c r="C52" i="8"/>
  <c r="O52" i="8"/>
  <c r="O15" i="5"/>
  <c r="AS32" i="2"/>
  <c r="AW160" i="2"/>
  <c r="AV113" i="2"/>
  <c r="AT114" i="2"/>
  <c r="AU114" i="2"/>
  <c r="AU105" i="2"/>
  <c r="AV105" i="2"/>
  <c r="I8" i="8"/>
  <c r="U49" i="5"/>
  <c r="O31" i="5"/>
  <c r="BA44" i="2"/>
  <c r="AU101" i="2"/>
  <c r="BC101" i="2"/>
  <c r="T19" i="5"/>
  <c r="BB52" i="2"/>
  <c r="AV117" i="2"/>
  <c r="BC97" i="2"/>
  <c r="BC93" i="2"/>
  <c r="V39" i="5"/>
  <c r="AW60" i="2"/>
  <c r="AU118" i="2"/>
  <c r="O59" i="8"/>
  <c r="C59" i="8"/>
  <c r="K146" i="2"/>
  <c r="K87" i="5"/>
  <c r="BA80" i="2"/>
  <c r="O51" i="5"/>
  <c r="BB57" i="2"/>
  <c r="BC88" i="2"/>
  <c r="BA58" i="2"/>
  <c r="BB58" i="2"/>
  <c r="BC90" i="2"/>
  <c r="D8" i="8"/>
  <c r="BC99" i="2"/>
  <c r="AU17" i="2"/>
  <c r="AU106" i="2"/>
  <c r="AY108" i="2"/>
  <c r="T53" i="5"/>
  <c r="I19" i="15"/>
  <c r="K149" i="2"/>
  <c r="K90" i="5"/>
  <c r="J17" i="15"/>
  <c r="C57" i="8"/>
  <c r="AS150" i="2"/>
  <c r="Q19" i="5"/>
  <c r="Q40" i="5"/>
  <c r="AW157" i="2"/>
  <c r="G39" i="8"/>
  <c r="G40" i="8"/>
  <c r="G41" i="8"/>
  <c r="G42" i="8"/>
  <c r="G43" i="8"/>
  <c r="G44" i="8"/>
  <c r="G45" i="8"/>
  <c r="G46" i="8"/>
  <c r="G47" i="8"/>
  <c r="U84" i="5"/>
  <c r="Q39" i="5"/>
  <c r="O74" i="2"/>
  <c r="AS41" i="2"/>
  <c r="AS67" i="2"/>
  <c r="Q38" i="5"/>
  <c r="O60" i="8"/>
  <c r="Q14" i="5"/>
  <c r="J18" i="14"/>
  <c r="AB18" i="14"/>
  <c r="AH18" i="14"/>
  <c r="V61" i="5"/>
  <c r="AS62" i="2"/>
  <c r="U17" i="5"/>
  <c r="AS156" i="2"/>
  <c r="O63" i="8"/>
  <c r="T65" i="5"/>
  <c r="C51" i="8"/>
  <c r="V19" i="5"/>
  <c r="O81" i="2"/>
  <c r="I19" i="14"/>
  <c r="AA19" i="14"/>
  <c r="AH19" i="14"/>
  <c r="AW29" i="2"/>
  <c r="AX78" i="2"/>
  <c r="BB78" i="2"/>
  <c r="AX79" i="2"/>
  <c r="BB79" i="2"/>
  <c r="AX84" i="2"/>
  <c r="AX24" i="2"/>
  <c r="AX26" i="2"/>
  <c r="BB26" i="2"/>
  <c r="AX75" i="2"/>
  <c r="BB75" i="2"/>
  <c r="AX74" i="2"/>
  <c r="AX30" i="2"/>
  <c r="BB30" i="2"/>
  <c r="AX85" i="2"/>
  <c r="BB85" i="2"/>
  <c r="AX21" i="2"/>
  <c r="AX105" i="2"/>
  <c r="AX103" i="2"/>
  <c r="AX86" i="2"/>
  <c r="BB86" i="2"/>
  <c r="AX83" i="2"/>
  <c r="BB83" i="2"/>
  <c r="AX17" i="2"/>
  <c r="BB17" i="2"/>
  <c r="AX15" i="2"/>
  <c r="BB15" i="2"/>
  <c r="BC15" i="2"/>
  <c r="AX77" i="2"/>
  <c r="BB77" i="2"/>
  <c r="AX107" i="2"/>
  <c r="AX28" i="2"/>
  <c r="BB28" i="2"/>
  <c r="AX76" i="2"/>
  <c r="BB76" i="2"/>
  <c r="AX16" i="2"/>
  <c r="BB16" i="2"/>
  <c r="BC16" i="2"/>
  <c r="AX67" i="2"/>
  <c r="AX40" i="2"/>
  <c r="BB40" i="2"/>
  <c r="AX108" i="2"/>
  <c r="AX71" i="2"/>
  <c r="BB71" i="2"/>
  <c r="AX82" i="2"/>
  <c r="BB82" i="2"/>
  <c r="AX34" i="2"/>
  <c r="AX65" i="2"/>
  <c r="BB65" i="2"/>
  <c r="AX25" i="2"/>
  <c r="BB25" i="2"/>
  <c r="AX110" i="2"/>
  <c r="AX22" i="2"/>
  <c r="AX47" i="2"/>
  <c r="BB47" i="2"/>
  <c r="AX50" i="2"/>
  <c r="BB50" i="2"/>
  <c r="AX23" i="2"/>
  <c r="BB23" i="2"/>
  <c r="AX45" i="2"/>
  <c r="BB45" i="2"/>
  <c r="AX31" i="2"/>
  <c r="BB31" i="2"/>
  <c r="AX32" i="2"/>
  <c r="BB32" i="2"/>
  <c r="AX48" i="2"/>
  <c r="BB48" i="2"/>
  <c r="AX66" i="2"/>
  <c r="BB66" i="2"/>
  <c r="AX80" i="2"/>
  <c r="BB80" i="2"/>
  <c r="AX64" i="2"/>
  <c r="BB64" i="2"/>
  <c r="AX39" i="2"/>
  <c r="BB39" i="2"/>
  <c r="AX33" i="2"/>
  <c r="BB33" i="2"/>
  <c r="AX29" i="2"/>
  <c r="AX106" i="2"/>
  <c r="AX19" i="2"/>
  <c r="BB19" i="2"/>
  <c r="AX42" i="2"/>
  <c r="BB42" i="2"/>
  <c r="AX69" i="2"/>
  <c r="BB69" i="2"/>
  <c r="AX46" i="2"/>
  <c r="BB46" i="2"/>
  <c r="AX70" i="2"/>
  <c r="BB70" i="2"/>
  <c r="AX68" i="2"/>
  <c r="BB68" i="2"/>
  <c r="AX43" i="2"/>
  <c r="BB43" i="2"/>
  <c r="AX37" i="2"/>
  <c r="BB37" i="2"/>
  <c r="AX41" i="2"/>
  <c r="BB41" i="2"/>
  <c r="AX72" i="2"/>
  <c r="BB72" i="2"/>
  <c r="AX44" i="2"/>
  <c r="BB44" i="2"/>
  <c r="AX111" i="2"/>
  <c r="AX35" i="2"/>
  <c r="AX38" i="2"/>
  <c r="BB38" i="2"/>
  <c r="AX49" i="2"/>
  <c r="BB49" i="2"/>
  <c r="AX27" i="2"/>
  <c r="BB27" i="2"/>
  <c r="AX63" i="2"/>
  <c r="BB63" i="2"/>
  <c r="AX20" i="2"/>
  <c r="AX73" i="2"/>
  <c r="AX81" i="2"/>
  <c r="AX18" i="2"/>
  <c r="BB18" i="2"/>
  <c r="AX36" i="2"/>
  <c r="BB36" i="2"/>
  <c r="AX112" i="2"/>
  <c r="BC19" i="2"/>
  <c r="AT120" i="2"/>
  <c r="AV119" i="2"/>
  <c r="BC18" i="2"/>
  <c r="BA74" i="2"/>
  <c r="BB74" i="2"/>
  <c r="O49" i="5"/>
  <c r="BA35" i="2"/>
  <c r="O22" i="5"/>
  <c r="BC17" i="2"/>
  <c r="BB81" i="2"/>
  <c r="BB73" i="2"/>
  <c r="BB67" i="2"/>
  <c r="BB84" i="2"/>
  <c r="BB35" i="2"/>
  <c r="AV114" i="2"/>
  <c r="AT115" i="2"/>
  <c r="AU21" i="2"/>
  <c r="AV21" i="2"/>
  <c r="AT22" i="2"/>
  <c r="BA81" i="2"/>
  <c r="O52" i="5"/>
  <c r="BC108" i="2"/>
  <c r="BB108" i="2"/>
  <c r="BB20" i="2"/>
  <c r="BC20" i="2"/>
  <c r="BB24" i="2"/>
  <c r="BB34" i="2"/>
  <c r="BB22" i="2"/>
  <c r="BC105" i="2"/>
  <c r="BB105" i="2"/>
  <c r="BB112" i="2"/>
  <c r="BC112" i="2"/>
  <c r="BC110" i="2"/>
  <c r="BB110" i="2"/>
  <c r="BC107" i="2"/>
  <c r="BB107" i="2"/>
  <c r="BB29" i="2"/>
  <c r="BB21" i="2"/>
  <c r="BC103" i="2"/>
  <c r="BB103" i="2"/>
  <c r="BB111" i="2"/>
  <c r="BC111" i="2"/>
  <c r="BB106" i="2"/>
  <c r="BC106" i="2"/>
  <c r="AV120" i="2"/>
  <c r="AT121" i="2"/>
  <c r="AU120" i="2"/>
  <c r="AT23" i="2"/>
  <c r="AU22" i="2"/>
  <c r="BC22" i="2"/>
  <c r="AV22" i="2"/>
  <c r="AT116" i="2"/>
  <c r="AV115" i="2"/>
  <c r="AU115" i="2"/>
  <c r="BC21" i="2"/>
  <c r="AU116" i="2"/>
  <c r="AV116" i="2"/>
  <c r="AT24" i="2"/>
  <c r="AV23" i="2"/>
  <c r="AU23" i="2"/>
  <c r="BC23" i="2"/>
  <c r="AU121" i="2"/>
  <c r="AT122" i="2"/>
  <c r="AV121" i="2"/>
  <c r="AT123" i="2"/>
  <c r="AU122" i="2"/>
  <c r="AV122" i="2"/>
  <c r="AT25" i="2"/>
  <c r="AV24" i="2"/>
  <c r="AU24" i="2"/>
  <c r="BC24" i="2"/>
  <c r="AT26" i="2"/>
  <c r="AV25" i="2"/>
  <c r="AU25" i="2"/>
  <c r="BC25" i="2"/>
  <c r="AV123" i="2"/>
  <c r="AT124" i="2"/>
  <c r="AU123" i="2"/>
  <c r="AT129" i="2"/>
  <c r="AT125" i="2"/>
  <c r="AU124" i="2"/>
  <c r="AV124" i="2"/>
  <c r="AV26" i="2"/>
  <c r="AT27" i="2"/>
  <c r="AU26" i="2"/>
  <c r="BC26" i="2"/>
  <c r="AT28" i="2"/>
  <c r="AV27" i="2"/>
  <c r="AU27" i="2"/>
  <c r="BC27" i="2"/>
  <c r="AU125" i="2"/>
  <c r="AV125" i="2"/>
  <c r="AT126" i="2"/>
  <c r="AV129" i="2"/>
  <c r="AT130" i="2"/>
  <c r="AU129" i="2"/>
  <c r="AT127" i="2"/>
  <c r="AU126" i="2"/>
  <c r="AV126" i="2"/>
  <c r="AT131" i="2"/>
  <c r="AV130" i="2"/>
  <c r="AU130" i="2"/>
  <c r="AU28" i="2"/>
  <c r="AT29" i="2"/>
  <c r="AV28" i="2"/>
  <c r="AU29" i="2"/>
  <c r="BC29" i="2"/>
  <c r="AT30" i="2"/>
  <c r="AV29" i="2"/>
  <c r="BC28" i="2"/>
  <c r="AT132" i="2"/>
  <c r="AU131" i="2"/>
  <c r="AV131" i="2"/>
  <c r="AV127" i="2"/>
  <c r="AU127" i="2"/>
  <c r="AT128" i="2"/>
  <c r="AV128" i="2"/>
  <c r="AU128" i="2"/>
  <c r="AT133" i="2"/>
  <c r="AV132" i="2"/>
  <c r="AU132" i="2"/>
  <c r="AV30" i="2"/>
  <c r="AT31" i="2"/>
  <c r="AU30" i="2"/>
  <c r="BC30" i="2"/>
  <c r="AV31" i="2"/>
  <c r="AT32" i="2"/>
  <c r="AU31" i="2"/>
  <c r="AV133" i="2"/>
  <c r="AT134" i="2"/>
  <c r="AU133" i="2"/>
  <c r="AV134" i="2"/>
  <c r="AT135" i="2"/>
  <c r="AU134" i="2"/>
  <c r="BC31" i="2"/>
  <c r="AT33" i="2"/>
  <c r="AV32" i="2"/>
  <c r="AU32" i="2"/>
  <c r="BC32" i="2"/>
  <c r="AU33" i="2"/>
  <c r="BC33" i="2"/>
  <c r="AT34" i="2"/>
  <c r="AV33" i="2"/>
  <c r="AV135" i="2"/>
  <c r="AT136" i="2"/>
  <c r="AU135" i="2"/>
  <c r="AV136" i="2"/>
  <c r="AT141" i="2"/>
  <c r="AU136" i="2"/>
  <c r="AV34" i="2"/>
  <c r="AU34" i="2"/>
  <c r="AT35" i="2"/>
  <c r="AT36" i="2"/>
  <c r="AV35" i="2"/>
  <c r="AU35" i="2"/>
  <c r="BC35" i="2"/>
  <c r="AV141" i="2"/>
  <c r="AT142" i="2"/>
  <c r="AU141" i="2"/>
  <c r="BC141" i="2"/>
  <c r="BC34" i="2"/>
  <c r="AT143" i="2"/>
  <c r="AU142" i="2"/>
  <c r="AV142" i="2"/>
  <c r="AU36" i="2"/>
  <c r="AT37" i="2"/>
  <c r="AV36" i="2"/>
  <c r="AV37" i="2"/>
  <c r="AT38" i="2"/>
  <c r="AU37" i="2"/>
  <c r="BC36" i="2"/>
  <c r="BC142" i="2"/>
  <c r="AT144" i="2"/>
  <c r="AV143" i="2"/>
  <c r="AU143" i="2"/>
  <c r="BC143" i="2"/>
  <c r="AV144" i="2"/>
  <c r="AT145" i="2"/>
  <c r="AU144" i="2"/>
  <c r="BC37" i="2"/>
  <c r="AV38" i="2"/>
  <c r="AT39" i="2"/>
  <c r="AU38" i="2"/>
  <c r="BC38" i="2"/>
  <c r="AT40" i="2"/>
  <c r="AV39" i="2"/>
  <c r="AU39" i="2"/>
  <c r="BC39" i="2"/>
  <c r="BC144" i="2"/>
  <c r="AV145" i="2"/>
  <c r="AT146" i="2"/>
  <c r="AU145" i="2"/>
  <c r="AT147" i="2"/>
  <c r="AV146" i="2"/>
  <c r="AU146" i="2"/>
  <c r="AV40" i="2"/>
  <c r="AU40" i="2"/>
  <c r="BC40" i="2"/>
  <c r="AT41" i="2"/>
  <c r="AT42" i="2"/>
  <c r="AV41" i="2"/>
  <c r="AU41" i="2"/>
  <c r="BC41" i="2"/>
  <c r="AV147" i="2"/>
  <c r="AT148" i="2"/>
  <c r="AU147" i="2"/>
  <c r="AT149" i="2"/>
  <c r="AV148" i="2"/>
  <c r="AU148" i="2"/>
  <c r="AV42" i="2"/>
  <c r="AT43" i="2"/>
  <c r="AU42" i="2"/>
  <c r="BC42" i="2"/>
  <c r="AT44" i="2"/>
  <c r="AV43" i="2"/>
  <c r="AU43" i="2"/>
  <c r="BC43" i="2"/>
  <c r="AT150" i="2"/>
  <c r="AV149" i="2"/>
  <c r="AU149" i="2"/>
  <c r="AT151" i="2"/>
  <c r="AV150" i="2"/>
  <c r="AU150" i="2"/>
  <c r="AV44" i="2"/>
  <c r="AT45" i="2"/>
  <c r="AU44" i="2"/>
  <c r="BC44" i="2"/>
  <c r="AT46" i="2"/>
  <c r="AU45" i="2"/>
  <c r="AV45" i="2"/>
  <c r="AT152" i="2"/>
  <c r="AV151" i="2"/>
  <c r="AU151" i="2"/>
  <c r="BC45" i="2"/>
  <c r="AU152" i="2"/>
  <c r="AT153" i="2"/>
  <c r="AV152" i="2"/>
  <c r="AV46" i="2"/>
  <c r="AT47" i="2"/>
  <c r="AU46" i="2"/>
  <c r="BC46" i="2"/>
  <c r="AV47" i="2"/>
  <c r="AT48" i="2"/>
  <c r="AU47" i="2"/>
  <c r="AT154" i="2"/>
  <c r="AU153" i="2"/>
  <c r="AV153" i="2"/>
  <c r="AT155" i="2"/>
  <c r="AV154" i="2"/>
  <c r="AU154" i="2"/>
  <c r="BC47" i="2"/>
  <c r="AT49" i="2"/>
  <c r="AV48" i="2"/>
  <c r="AU48" i="2"/>
  <c r="BC48" i="2"/>
  <c r="AT50" i="2"/>
  <c r="AV49" i="2"/>
  <c r="AU49" i="2"/>
  <c r="BC49" i="2"/>
  <c r="AU155" i="2"/>
  <c r="AT156" i="2"/>
  <c r="AV155" i="2"/>
  <c r="AV156" i="2"/>
  <c r="AT157" i="2"/>
  <c r="AU156" i="2"/>
  <c r="AT63" i="2"/>
  <c r="AV50" i="2"/>
  <c r="AT51" i="2"/>
  <c r="AU50" i="2"/>
  <c r="BC50" i="2"/>
  <c r="AV51" i="2"/>
  <c r="AT52" i="2"/>
  <c r="AU51" i="2"/>
  <c r="AV63" i="2"/>
  <c r="AU63" i="2"/>
  <c r="BC63" i="2"/>
  <c r="AT64" i="2"/>
  <c r="AV157" i="2"/>
  <c r="AT158" i="2"/>
  <c r="AU157" i="2"/>
  <c r="AV64" i="2"/>
  <c r="AT65" i="2"/>
  <c r="AU64" i="2"/>
  <c r="BC51" i="2"/>
  <c r="AV52" i="2"/>
  <c r="AT53" i="2"/>
  <c r="AU52" i="2"/>
  <c r="BC52" i="2"/>
  <c r="AV158" i="2"/>
  <c r="AT159" i="2"/>
  <c r="AU158" i="2"/>
  <c r="AV53" i="2"/>
  <c r="AT54" i="2"/>
  <c r="AU53" i="2"/>
  <c r="BC53" i="2"/>
  <c r="BC64" i="2"/>
  <c r="AT66" i="2"/>
  <c r="AV65" i="2"/>
  <c r="AU65" i="2"/>
  <c r="BC65" i="2"/>
  <c r="AV159" i="2"/>
  <c r="AT160" i="2"/>
  <c r="AU159" i="2"/>
  <c r="AV160" i="2"/>
  <c r="AU160" i="2"/>
  <c r="AT67" i="2"/>
  <c r="AT55" i="2"/>
  <c r="AU54" i="2"/>
  <c r="AV54" i="2"/>
  <c r="AU66" i="2"/>
  <c r="AV66" i="2"/>
  <c r="BC66" i="2"/>
  <c r="BC54" i="2"/>
  <c r="AT56" i="2"/>
  <c r="AV55" i="2"/>
  <c r="AU55" i="2"/>
  <c r="BC55" i="2"/>
  <c r="AV67" i="2"/>
  <c r="AT68" i="2"/>
  <c r="AU67" i="2"/>
  <c r="BC67" i="2"/>
  <c r="AT69" i="2"/>
  <c r="AU68" i="2"/>
  <c r="AV68" i="2"/>
  <c r="AT57" i="2"/>
  <c r="AU56" i="2"/>
  <c r="AV56" i="2"/>
  <c r="BC56" i="2"/>
  <c r="AT58" i="2"/>
  <c r="AV57" i="2"/>
  <c r="AU57" i="2"/>
  <c r="BC57" i="2"/>
  <c r="BC68" i="2"/>
  <c r="AT70" i="2"/>
  <c r="AU69" i="2"/>
  <c r="AV69" i="2"/>
  <c r="BC69" i="2"/>
  <c r="AU70" i="2"/>
  <c r="AT75" i="2"/>
  <c r="AT71" i="2"/>
  <c r="AV70" i="2"/>
  <c r="AT59" i="2"/>
  <c r="AV58" i="2"/>
  <c r="AU58" i="2"/>
  <c r="BC58" i="2"/>
  <c r="AT60" i="2"/>
  <c r="AV59" i="2"/>
  <c r="AU59" i="2"/>
  <c r="BC59" i="2"/>
  <c r="AV71" i="2"/>
  <c r="AT72" i="2"/>
  <c r="AU71" i="2"/>
  <c r="BC71" i="2"/>
  <c r="AT76" i="2"/>
  <c r="AV75" i="2"/>
  <c r="AU75" i="2"/>
  <c r="BC75" i="2"/>
  <c r="BC70" i="2"/>
  <c r="AV76" i="2"/>
  <c r="AT77" i="2"/>
  <c r="AU76" i="2"/>
  <c r="AU72" i="2"/>
  <c r="AV72" i="2"/>
  <c r="AT73" i="2"/>
  <c r="AU60" i="2"/>
  <c r="AV60" i="2"/>
  <c r="AT61" i="2"/>
  <c r="AV61" i="2"/>
  <c r="AT62" i="2"/>
  <c r="AU61" i="2"/>
  <c r="BC60" i="2"/>
  <c r="AT74" i="2"/>
  <c r="AV73" i="2"/>
  <c r="AU73" i="2"/>
  <c r="BC73" i="2"/>
  <c r="BC72" i="2"/>
  <c r="BC76" i="2"/>
  <c r="AT78" i="2"/>
  <c r="AV77" i="2"/>
  <c r="AU77" i="2"/>
  <c r="BC77" i="2"/>
  <c r="AV78" i="2"/>
  <c r="AU78" i="2"/>
  <c r="BC78" i="2"/>
  <c r="AT79" i="2"/>
  <c r="AV74" i="2"/>
  <c r="AU74" i="2"/>
  <c r="BC74" i="2"/>
  <c r="BC61" i="2"/>
  <c r="AV62" i="2"/>
  <c r="AU62" i="2"/>
  <c r="BC62" i="2"/>
  <c r="AU79" i="2"/>
  <c r="BC79" i="2"/>
  <c r="AV79" i="2"/>
  <c r="AT80" i="2"/>
  <c r="AV80" i="2"/>
  <c r="AT81" i="2"/>
  <c r="AU80" i="2"/>
  <c r="BC80" i="2"/>
  <c r="AV81" i="2"/>
  <c r="AT82" i="2"/>
  <c r="AU81" i="2"/>
  <c r="BC81" i="2"/>
  <c r="AV82" i="2"/>
  <c r="AT83" i="2"/>
  <c r="AU82" i="2"/>
  <c r="BC82" i="2"/>
  <c r="AT84" i="2"/>
  <c r="AV83" i="2"/>
  <c r="AU83" i="2"/>
  <c r="BC83" i="2"/>
  <c r="AT85" i="2"/>
  <c r="AU84" i="2"/>
  <c r="AV84" i="2"/>
  <c r="BC84" i="2"/>
  <c r="AV85" i="2"/>
  <c r="AT86" i="2"/>
  <c r="AU85" i="2"/>
  <c r="BC85" i="2"/>
  <c r="AV86" i="2"/>
  <c r="AU86" i="2"/>
  <c r="BC8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5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Iben Moll Rasmussen</author>
    <author>Rikke Næraa</author>
  </authors>
  <commentList>
    <comment ref="P5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6" authorId="0" shapeId="0" xr:uid="{00000000-0006-0000-06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6" authorId="1" shapeId="0" xr:uid="{00000000-0006-0000-0600-000003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Kenneth Karlsson</author>
    <author>Iben Moll Rasmussen</author>
    <author>Rikke Næraa</author>
    <author>Asbjørn Zachariassen Hegelund</author>
    <author>Mikkel Bosack Simonsen</author>
  </authors>
  <commentList>
    <comment ref="BC12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P13" authorId="1" shapeId="0" xr:uid="{00000000-0006-0000-0700-000002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The backpressure coefficient is defined as the maximum power generating capacity in backpressure mode divided by the maximum heat capacity</t>
        </r>
      </text>
    </comment>
    <comment ref="W14" authorId="1" shapeId="0" xr:uid="{00000000-0006-0000-07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  <comment ref="AF14" authorId="2" shapeId="0" xr:uid="{00000000-0006-0000-0700-000004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All  numbers are changed to a integer
 the value is shown in a comment box
</t>
        </r>
      </text>
    </comment>
    <comment ref="AF15" authorId="2" shapeId="0" xr:uid="{00000000-0006-0000-0700-000005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
</t>
        </r>
      </text>
    </comment>
    <comment ref="AL27" authorId="3" shapeId="0" xr:uid="{00000000-0006-0000-0700-00000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asheg12@student.sdu.dk</t>
        </r>
      </text>
    </comment>
    <comment ref="P39" authorId="2" shapeId="0" xr:uid="{00000000-0006-0000-0700-000007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Has been checked with the data sheet in the technology catalog, but there should be an explanation why this CB value increases so dramastically from 2015-2020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 values</t>
        </r>
      </text>
    </comment>
    <comment ref="AF39" authorId="2" shapeId="0" xr:uid="{00000000-0006-0000-0700-000008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1.5-2
</t>
        </r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2,5 in aug2016</t>
        </r>
      </text>
    </comment>
    <comment ref="AF47" authorId="2" shapeId="0" xr:uid="{00000000-0006-0000-0700-00000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the information is less than a year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B51" authorId="4" shapeId="0" xr:uid="{00000000-0006-0000-0700-00000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1" authorId="2" shapeId="0" xr:uid="{00000000-0006-0000-0700-00000B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D51" authorId="4" shapeId="0" xr:uid="{00000000-0006-0000-0700-00000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AX51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3" authorId="3" shapeId="0" xr:uid="{00000000-0006-0000-0700-00000E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5" authorId="4" shapeId="0" xr:uid="{00000000-0006-0000-0700-00000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5" authorId="2" shapeId="0" xr:uid="{00000000-0006-0000-0700-000010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5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57" authorId="3" shapeId="0" xr:uid="{00000000-0006-0000-0700-000012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59" authorId="4" shapeId="0" xr:uid="{00000000-0006-0000-0700-00001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T59" authorId="2" shapeId="0" xr:uid="{00000000-0006-0000-0700-000014000000}">
      <text>
        <r>
          <rPr>
            <b/>
            <sz val="9"/>
            <color indexed="81"/>
            <rFont val="Tahoma"/>
            <family val="2"/>
          </rPr>
          <t xml:space="preserve">Rikke Næraa: </t>
        </r>
        <r>
          <rPr>
            <sz val="9"/>
            <color indexed="81"/>
            <rFont val="Tahoma"/>
            <family val="2"/>
          </rPr>
          <t>INVCOST, FIXOM and VAROM  for WST TEK are c</t>
        </r>
        <r>
          <rPr>
            <sz val="9"/>
            <color indexed="81"/>
            <rFont val="Tahoma"/>
            <family val="2"/>
          </rPr>
          <t xml:space="preserve">hanged according to the EA report 2016
Notat vedrørende investeringsomkostninger af affaldsforbrænding - 12-01-2016
</t>
        </r>
      </text>
    </comment>
    <comment ref="AX59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Kenneth Karlsson:</t>
        </r>
        <r>
          <rPr>
            <sz val="9"/>
            <color indexed="81"/>
            <rFont val="Tahoma"/>
            <family val="2"/>
          </rPr>
          <t xml:space="preserve">
no fuelcost avaiable
</t>
        </r>
      </text>
    </comment>
    <comment ref="Y61" authorId="3" shapeId="0" xr:uid="{00000000-0006-0000-0700-000016000000}">
      <text>
        <r>
          <rPr>
            <b/>
            <sz val="9"/>
            <color indexed="81"/>
            <rFont val="Tahoma"/>
            <family val="2"/>
          </rPr>
          <t>Asbjørn Zachariassen Hegelund:</t>
        </r>
        <r>
          <rPr>
            <sz val="9"/>
            <color indexed="81"/>
            <rFont val="Tahoma"/>
            <family val="2"/>
          </rPr>
          <t xml:space="preserve">
Delete?</t>
        </r>
      </text>
    </comment>
    <comment ref="B63" authorId="4" shapeId="0" xr:uid="{00000000-0006-0000-0700-00001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63" authorId="4" shapeId="0" xr:uid="{00000000-0006-0000-0700-00001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dergee of desulohuring 97.5%
</t>
        </r>
      </text>
    </comment>
    <comment ref="AF63" authorId="2" shapeId="0" xr:uid="{00000000-0006-0000-0700-000019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4" authorId="2" shapeId="0" xr:uid="{00000000-0006-0000-0700-00001A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67" authorId="4" shapeId="0" xr:uid="{00000000-0006-0000-0700-00001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F67" authorId="2" shapeId="0" xr:uid="{00000000-0006-0000-0700-00001C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4.5</t>
        </r>
      </text>
    </comment>
    <comment ref="AF68" authorId="2" shapeId="0" xr:uid="{00000000-0006-0000-0700-00001D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Construction time set equal to medium wood chips</t>
        </r>
      </text>
    </comment>
    <comment ref="B71" authorId="4" shapeId="0" xr:uid="{00000000-0006-0000-0700-00001E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B75" authorId="4" shapeId="0" xr:uid="{00000000-0006-0000-0700-00001F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5" authorId="4" shapeId="0" xr:uid="{00000000-0006-0000-0700-000020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76" authorId="4" shapeId="0" xr:uid="{00000000-0006-0000-0700-000021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77" authorId="4" shapeId="0" xr:uid="{00000000-0006-0000-0700-000022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78" authorId="4" shapeId="0" xr:uid="{00000000-0006-0000-0700-00002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79" authorId="4" shapeId="0" xr:uid="{00000000-0006-0000-0700-00002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79" authorId="4" shapeId="0" xr:uid="{00000000-0006-0000-0700-00002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0" authorId="4" shapeId="0" xr:uid="{00000000-0006-0000-0700-00002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1" authorId="4" shapeId="0" xr:uid="{00000000-0006-0000-0700-00002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2" authorId="4" shapeId="0" xr:uid="{00000000-0006-0000-0700-00002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B83" authorId="4" shapeId="0" xr:uid="{00000000-0006-0000-0700-00002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need update, however only update is a catalog and new version is expectedc in ultimo August.</t>
        </r>
      </text>
    </comment>
    <comment ref="AD83" authorId="4" shapeId="0" xr:uid="{00000000-0006-0000-0700-00002A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84" authorId="4" shapeId="0" xr:uid="{00000000-0006-0000-0700-00002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85" authorId="4" shapeId="0" xr:uid="{00000000-0006-0000-0700-00002C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86" authorId="4" shapeId="0" xr:uid="{00000000-0006-0000-0700-00002D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F87" authorId="2" shapeId="0" xr:uid="{00000000-0006-0000-0700-00002E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1.5
</t>
        </r>
      </text>
    </comment>
    <comment ref="AH87" authorId="2" shapeId="0" xr:uid="{00000000-0006-0000-0700-00002F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data incerted 20 April 2016 win is from the updated catalog- the figures is used in the SubRes_ELS_Techs_TRANS</t>
        </r>
        <r>
          <rPr>
            <b/>
            <sz val="9"/>
            <color indexed="81"/>
            <rFont val="Tahoma"/>
            <family val="2"/>
          </rPr>
          <t xml:space="preserve">
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F91" authorId="2" shapeId="0" xr:uid="{00000000-0006-0000-0700-000030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3-4
</t>
        </r>
        <r>
          <rPr>
            <b/>
            <sz val="9"/>
            <color indexed="81"/>
            <rFont val="Tahoma"/>
            <family val="2"/>
          </rPr>
          <t>Asbjørn Hegelund (SDU):</t>
        </r>
        <r>
          <rPr>
            <sz val="9"/>
            <color indexed="81"/>
            <rFont val="Tahoma"/>
            <family val="2"/>
          </rPr>
          <t xml:space="preserve">
Updated with aug16</t>
        </r>
      </text>
    </comment>
    <comment ref="AD129" authorId="4" shapeId="0" xr:uid="{00000000-0006-0000-0700-000031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desulphuring degree of 97.5 %</t>
        </r>
      </text>
    </comment>
    <comment ref="AD133" authorId="4" shapeId="0" xr:uid="{00000000-0006-0000-0700-000032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95.5%
</t>
        </r>
      </text>
    </comment>
    <comment ref="AD134" authorId="4" shapeId="0" xr:uid="{00000000-0006-0000-0700-000033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desulphuyring 96.3%
</t>
        </r>
      </text>
    </comment>
    <comment ref="AD135" authorId="4" shapeId="0" xr:uid="{00000000-0006-0000-0700-000034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99.0%
</t>
        </r>
      </text>
    </comment>
    <comment ref="AD136" authorId="4" shapeId="0" xr:uid="{00000000-0006-0000-0700-000035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og desulphuring 99.8%</t>
        </r>
      </text>
    </comment>
    <comment ref="AD137" authorId="4" shapeId="0" xr:uid="{00000000-0006-0000-0700-000036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38" authorId="4" shapeId="0" xr:uid="{00000000-0006-0000-0700-000037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39" authorId="4" shapeId="0" xr:uid="{00000000-0006-0000-0700-000038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AD140" authorId="4" shapeId="0" xr:uid="{00000000-0006-0000-0700-000039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degree of desulphuring 97.5 %
</t>
        </r>
      </text>
    </comment>
    <comment ref="C146" authorId="1" shapeId="0" xr:uid="{00000000-0006-0000-0700-00003A000000}">
      <text>
        <r>
          <rPr>
            <b/>
            <sz val="9"/>
            <color indexed="81"/>
            <rFont val="Tahoma"/>
            <family val="2"/>
          </rPr>
          <t xml:space="preserve">IMR/KSA:
</t>
        </r>
        <r>
          <rPr>
            <sz val="9"/>
            <color indexed="81"/>
            <rFont val="Tahoma"/>
            <family val="2"/>
          </rPr>
          <t>This technology demands some proces heat. In other words it depends on another heatproducing technology in order to function.</t>
        </r>
      </text>
    </comment>
    <comment ref="AD161" authorId="4" shapeId="0" xr:uid="{00000000-0006-0000-0700-00003B000000}">
      <text>
        <r>
          <rPr>
            <b/>
            <sz val="9"/>
            <color indexed="81"/>
            <rFont val="Tahoma"/>
            <family val="2"/>
          </rPr>
          <t>Mikkel Bosack Simonsen:</t>
        </r>
        <r>
          <rPr>
            <sz val="9"/>
            <color indexed="81"/>
            <rFont val="Tahoma"/>
            <family val="2"/>
          </rPr>
          <t xml:space="preserve">
Fuel dependent, degree of desulphuring 99.8%
</t>
        </r>
      </text>
    </comment>
    <comment ref="K164" authorId="2" shapeId="0" xr:uid="{00000000-0006-0000-0700-00003C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copy of the 2030 value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Jannick Hauschildt Buhl</author>
    <author>Rikke Næraa</author>
  </authors>
  <commentList>
    <comment ref="AC22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Jannick Hauschildt Buhl:</t>
        </r>
        <r>
          <rPr>
            <sz val="9"/>
            <color indexed="81"/>
            <rFont val="Tahoma"/>
            <family val="2"/>
          </rPr>
          <t xml:space="preserve">
Not applicable. Formula removed due to error caused by zeros.</t>
        </r>
      </text>
    </comment>
    <comment ref="M86" authorId="1" shapeId="0" xr:uid="{00000000-0006-0000-0800-000002000000}">
      <text>
        <r>
          <rPr>
            <b/>
            <sz val="9"/>
            <color indexed="81"/>
            <rFont val="Tahoma"/>
            <family val="2"/>
          </rPr>
          <t>Rikke Næraa:</t>
        </r>
        <r>
          <rPr>
            <sz val="9"/>
            <color indexed="81"/>
            <rFont val="Tahoma"/>
            <family val="2"/>
          </rPr>
          <t xml:space="preserve">
input to all geo abs is steam, which then should be produced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Kenneth Karlsson</author>
    <author>Iben Moll Rasmussen</author>
  </authors>
  <commentList>
    <comment ref="P13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  <comment ref="AH13" authorId="1" shapeId="0" xr:uid="{00000000-0006-0000-0900-000002000000}">
      <text>
        <r>
          <rPr>
            <b/>
            <sz val="9"/>
            <color indexed="81"/>
            <rFont val="Tahoma"/>
            <family val="2"/>
          </rPr>
          <t xml:space="preserve">Kenneth Karlsson: </t>
        </r>
        <r>
          <rPr>
            <sz val="9"/>
            <color indexed="81"/>
            <rFont val="Tahoma"/>
            <family val="2"/>
          </rPr>
          <t xml:space="preserve">Only the fuel consumption used for producing heat is redrawn from the cost. A method to relate a part of the other costs ( investments and O&amp;M) to the heat should be found. Could be a heat price
</t>
        </r>
      </text>
    </comment>
    <comment ref="K15" authorId="2" shapeId="0" xr:uid="{00000000-0006-0000-0900-000003000000}">
      <text>
        <r>
          <rPr>
            <b/>
            <sz val="9"/>
            <color indexed="81"/>
            <rFont val="Tahoma"/>
            <family val="2"/>
          </rPr>
          <t>Iben Moll Rasmussen:</t>
        </r>
        <r>
          <rPr>
            <sz val="9"/>
            <color indexed="81"/>
            <rFont val="Tahoma"/>
            <family val="2"/>
          </rPr>
          <t xml:space="preserve">
What does this mean?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P12" authorId="0" shapeId="0" xr:uid="{00000000-0006-0000-0A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We should review and add the ILED again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Kristoffer Steen Andersen</author>
  </authors>
  <commentList>
    <comment ref="J22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Kristoffer Steen Andersen:</t>
        </r>
        <r>
          <rPr>
            <sz val="8"/>
            <color indexed="81"/>
            <rFont val="Tahoma"/>
            <family val="2"/>
          </rPr>
          <t xml:space="preserve">
This number is taken from danish technology catalog. It migth be seen as an upper limit, since it doesn't take into account 
1. The Time for varm start-up (hours) = 12
2. And the consumption of fuel for start-up = 1080 GJ
</t>
        </r>
      </text>
    </comment>
    <comment ref="J23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4" authorId="0" shapeId="0" xr:uid="{00000000-0006-0000-0C00-000003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  <comment ref="J25" authorId="0" shapeId="0" xr:uid="{00000000-0006-0000-0C00-000004000000}">
      <text>
        <r>
          <rPr>
            <b/>
            <sz val="8"/>
            <color indexed="81"/>
            <rFont val="Tahoma"/>
            <family val="2"/>
          </rPr>
          <t>Kristoffer Steen Andersen:
This number is taken from danish technology catalog. It migth be seen as an upper limit, since it doesn't take into account 
1. The Time for varm start-up (hours) = 12
2. And the consumption of fuel for start-up = 1080 GJ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Sigurd Lauge Pedersen</author>
    <author>Sigurd LP</author>
    <author>Asbjørn Hegelund</author>
  </authors>
  <commentList>
    <comment ref="O6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Denne kolonne bruges til beregning af prisfaktor i Fuelmix, når kul og biomasse er blandet.</t>
        </r>
      </text>
    </comment>
    <comment ref="I9" authorId="0" shapeId="0" xr:uid="{00000000-0006-0000-0D00-000002000000}">
      <text>
        <r>
          <rPr>
            <b/>
            <sz val="8"/>
            <color indexed="81"/>
            <rFont val="Tahoma"/>
            <family val="2"/>
          </rPr>
          <t>Træpilleprisen an krafftværk.</t>
        </r>
        <r>
          <rPr>
            <sz val="8"/>
            <color indexed="81"/>
            <rFont val="Tahoma"/>
            <family val="2"/>
          </rPr>
          <t xml:space="preserve">
</t>
        </r>
      </text>
    </comment>
    <comment ref="G28" authorId="0" shapeId="0" xr:uid="{00000000-0006-0000-0D00-000003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M30" authorId="1" shapeId="0" xr:uid="{00000000-0006-0000-0D00-000004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G31" authorId="1" shapeId="0" xr:uid="{00000000-0006-0000-0D00-000005000000}">
      <text>
        <r>
          <rPr>
            <b/>
            <sz val="8"/>
            <color indexed="81"/>
            <rFont val="Tahoma"/>
            <family val="2"/>
          </rPr>
          <t>Finsk tørvepris, leveret til værk 2008.  8,47 €/MWh eller 17,53 kr/GJ. Det ser ud til, attørv er billigere i Finland end i Sverige.</t>
        </r>
      </text>
    </comment>
    <comment ref="J31" authorId="0" shapeId="0" xr:uid="{00000000-0006-0000-0D00-00000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1" authorId="1" shapeId="0" xr:uid="{00000000-0006-0000-0D00-000007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2" authorId="0" shapeId="0" xr:uid="{00000000-0006-0000-0D00-00000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2" authorId="1" shapeId="0" xr:uid="{00000000-0006-0000-0D00-000009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3" authorId="0" shapeId="0" xr:uid="{00000000-0006-0000-0D00-00000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3" authorId="1" shapeId="0" xr:uid="{00000000-0006-0000-0D00-00000B000000}">
      <text>
        <r>
          <rPr>
            <b/>
            <sz val="8"/>
            <color indexed="81"/>
            <rFont val="Tahoma"/>
            <family val="2"/>
          </rPr>
          <t>Se separat reneark "Uranpris".</t>
        </r>
      </text>
    </comment>
    <comment ref="J34" authorId="0" shapeId="0" xr:uid="{00000000-0006-0000-0D00-00000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4" authorId="1" shapeId="0" xr:uid="{00000000-0006-0000-0D00-00000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5" authorId="0" shapeId="0" xr:uid="{00000000-0006-0000-0D00-00000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5" authorId="1" shapeId="0" xr:uid="{00000000-0006-0000-0D00-00000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6" authorId="0" shapeId="0" xr:uid="{00000000-0006-0000-0D00-00001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6" authorId="1" shapeId="0" xr:uid="{00000000-0006-0000-0D00-00001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7" authorId="0" shapeId="0" xr:uid="{00000000-0006-0000-0D00-00001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7" authorId="1" shapeId="0" xr:uid="{00000000-0006-0000-0D00-00001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38" authorId="0" shapeId="0" xr:uid="{00000000-0006-0000-0D00-000014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38" authorId="0" shapeId="0" xr:uid="{00000000-0006-0000-0D00-00001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8" authorId="1" shapeId="0" xr:uid="{00000000-0006-0000-0D00-00001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39" authorId="0" shapeId="0" xr:uid="{00000000-0006-0000-0D00-00001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39" authorId="1" shapeId="0" xr:uid="{00000000-0006-0000-0D00-00001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0" authorId="0" shapeId="0" xr:uid="{00000000-0006-0000-0D00-000019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0" authorId="1" shapeId="0" xr:uid="{00000000-0006-0000-0D00-00001A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1" authorId="0" shapeId="0" xr:uid="{00000000-0006-0000-0D00-00001B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1" authorId="1" shapeId="0" xr:uid="{00000000-0006-0000-0D00-00001C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2" authorId="0" shapeId="0" xr:uid="{00000000-0006-0000-0D00-00001D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2" authorId="1" shapeId="0" xr:uid="{00000000-0006-0000-0D00-00001E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3" authorId="0" shapeId="0" xr:uid="{00000000-0006-0000-0D00-00001F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3" authorId="1" shapeId="0" xr:uid="{00000000-0006-0000-0D00-000020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4" authorId="0" shapeId="0" xr:uid="{00000000-0006-0000-0D00-000021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4" authorId="1" shapeId="0" xr:uid="{00000000-0006-0000-0D00-000022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5" authorId="0" shapeId="0" xr:uid="{00000000-0006-0000-0D00-00002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5" authorId="1" shapeId="0" xr:uid="{00000000-0006-0000-0D00-000024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6" authorId="0" shapeId="0" xr:uid="{00000000-0006-0000-0D00-00002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6" authorId="1" shapeId="0" xr:uid="{00000000-0006-0000-0D00-000026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7" authorId="0" shapeId="0" xr:uid="{00000000-0006-0000-0D00-000027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7" authorId="1" shapeId="0" xr:uid="{00000000-0006-0000-0D00-000028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G48" authorId="0" shapeId="0" xr:uid="{00000000-0006-0000-0D00-000029000000}">
      <text>
        <r>
          <rPr>
            <b/>
            <sz val="8"/>
            <color indexed="81"/>
            <rFont val="Tahoma"/>
            <family val="2"/>
          </rPr>
          <t>Energimyndigheten, Sverige, januar 2009.</t>
        </r>
      </text>
    </comment>
    <comment ref="J48" authorId="0" shapeId="0" xr:uid="{00000000-0006-0000-0D00-00002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8" authorId="1" shapeId="0" xr:uid="{00000000-0006-0000-0D00-00002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49" authorId="0" shapeId="0" xr:uid="{00000000-0006-0000-0D00-00002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49" authorId="1" shapeId="0" xr:uid="{00000000-0006-0000-0D00-00002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0" authorId="0" shapeId="0" xr:uid="{00000000-0006-0000-0D00-00002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0" authorId="1" shapeId="0" xr:uid="{00000000-0006-0000-0D00-00002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1" authorId="0" shapeId="0" xr:uid="{00000000-0006-0000-0D00-00003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1" authorId="1" shapeId="0" xr:uid="{00000000-0006-0000-0D00-000031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2" authorId="0" shapeId="0" xr:uid="{00000000-0006-0000-0D00-000032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2" authorId="1" shapeId="0" xr:uid="{00000000-0006-0000-0D00-000033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3" authorId="0" shapeId="0" xr:uid="{00000000-0006-0000-0D00-00003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3" authorId="1" shapeId="0" xr:uid="{00000000-0006-0000-0D00-000035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4" authorId="0" shapeId="0" xr:uid="{00000000-0006-0000-0D00-00003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4" authorId="1" shapeId="0" xr:uid="{00000000-0006-0000-0D00-000037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5" authorId="0" shapeId="0" xr:uid="{00000000-0006-0000-0D00-000038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5" authorId="1" shapeId="0" xr:uid="{00000000-0006-0000-0D00-000039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6" authorId="0" shapeId="0" xr:uid="{00000000-0006-0000-0D00-00003A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6" authorId="1" shapeId="0" xr:uid="{00000000-0006-0000-0D00-00003B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7" authorId="0" shapeId="0" xr:uid="{00000000-0006-0000-0D00-00003C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7" authorId="1" shapeId="0" xr:uid="{00000000-0006-0000-0D00-00003D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8" authorId="0" shapeId="0" xr:uid="{00000000-0006-0000-0D00-00003E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M58" authorId="1" shapeId="0" xr:uid="{00000000-0006-0000-0D00-00003F000000}">
      <text>
        <r>
          <rPr>
            <b/>
            <sz val="8"/>
            <color indexed="81"/>
            <rFont val="Tahoma"/>
            <family val="2"/>
          </rPr>
          <t>Antaget 60 $/lb af U3O8. Hertil lagt omk til konvertering (U2O), berigning + affaldshåndtering. Se separat reneark "Uranpris".</t>
        </r>
      </text>
    </comment>
    <comment ref="J59" authorId="0" shapeId="0" xr:uid="{00000000-0006-0000-0D00-000040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R59" authorId="2" shapeId="0" xr:uid="{00000000-0006-0000-0D00-000041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Extrapolation of the period from 2031 to 2035</t>
        </r>
      </text>
    </comment>
    <comment ref="AB59" authorId="2" shapeId="0" xr:uid="{00000000-0006-0000-0D00-000042000000}">
      <text>
        <r>
          <rPr>
            <b/>
            <sz val="9"/>
            <color indexed="81"/>
            <rFont val="Tahoma"/>
            <family val="2"/>
          </rPr>
          <t>Asbjørn Hegelund:</t>
        </r>
        <r>
          <rPr>
            <sz val="9"/>
            <color indexed="81"/>
            <rFont val="Tahoma"/>
            <family val="2"/>
          </rPr>
          <t xml:space="preserve">
Kept constant in lack of new prices</t>
        </r>
      </text>
    </comment>
    <comment ref="J60" authorId="0" shapeId="0" xr:uid="{00000000-0006-0000-0D00-000043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1" authorId="0" shapeId="0" xr:uid="{00000000-0006-0000-0D00-000044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2" authorId="0" shapeId="0" xr:uid="{00000000-0006-0000-0D00-000045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  <comment ref="J63" authorId="0" shapeId="0" xr:uid="{00000000-0006-0000-0D00-000046000000}">
      <text>
        <r>
          <rPr>
            <b/>
            <sz val="8"/>
            <color indexed="81"/>
            <rFont val="Tahoma"/>
            <family val="2"/>
          </rPr>
          <t>Inkl. affaldsforbrændingsafgift. Skal være positiv. Ellers kører ineffektive værker mest.</t>
        </r>
      </text>
    </comment>
  </commentList>
</comments>
</file>

<file path=xl/sharedStrings.xml><?xml version="1.0" encoding="utf-8"?>
<sst xmlns="http://schemas.openxmlformats.org/spreadsheetml/2006/main" count="2581" uniqueCount="633">
  <si>
    <t>~FI_T</t>
  </si>
  <si>
    <t>TechName</t>
  </si>
  <si>
    <t>*TechDesc</t>
  </si>
  <si>
    <t>Comm-IN</t>
  </si>
  <si>
    <t>Comm-OUT</t>
  </si>
  <si>
    <t>Year</t>
  </si>
  <si>
    <t>START</t>
  </si>
  <si>
    <t>*Minimum capacity</t>
  </si>
  <si>
    <t>EFF</t>
  </si>
  <si>
    <t>CHPR~UP</t>
  </si>
  <si>
    <t>CEH</t>
  </si>
  <si>
    <t>INVCOST</t>
  </si>
  <si>
    <t>FIXOM</t>
  </si>
  <si>
    <t>VAROM</t>
  </si>
  <si>
    <t>CAP2ACT</t>
  </si>
  <si>
    <t>AFA</t>
  </si>
  <si>
    <t>Peak</t>
  </si>
  <si>
    <t>ILED</t>
  </si>
  <si>
    <t>*PlantName</t>
  </si>
  <si>
    <t>*Unit</t>
  </si>
  <si>
    <t>MW</t>
  </si>
  <si>
    <t>Mkr/MW</t>
  </si>
  <si>
    <t>Mkr/PJ</t>
  </si>
  <si>
    <t>Factor</t>
  </si>
  <si>
    <t>Years</t>
  </si>
  <si>
    <t>tons/PJ</t>
  </si>
  <si>
    <t>ELCC</t>
  </si>
  <si>
    <t>ELCCOA</t>
  </si>
  <si>
    <t>LIFE</t>
  </si>
  <si>
    <t>ELCNOX</t>
  </si>
  <si>
    <t>ELCCH4</t>
  </si>
  <si>
    <t>ELCN2O</t>
  </si>
  <si>
    <t>ELCCPW</t>
  </si>
  <si>
    <t>ELCNGA</t>
  </si>
  <si>
    <t>ELCWST</t>
  </si>
  <si>
    <t>ELCSTR</t>
  </si>
  <si>
    <t>ELCWIN</t>
  </si>
  <si>
    <t>ERWINELCWIN315N</t>
  </si>
  <si>
    <t>ERWINELCWIN320N</t>
  </si>
  <si>
    <t>ERWINELCWIN330N</t>
  </si>
  <si>
    <t>ERWINELCWIN350N</t>
  </si>
  <si>
    <t>ERWINELCWIN415N</t>
  </si>
  <si>
    <t>ERWINELCWIN420N</t>
  </si>
  <si>
    <t>ERWINELCWIN430N</t>
  </si>
  <si>
    <t>ERWINELCWIN450N</t>
  </si>
  <si>
    <t>ELCWAV</t>
  </si>
  <si>
    <t>ELCGBI</t>
  </si>
  <si>
    <t>CHPR~FX</t>
  </si>
  <si>
    <t/>
  </si>
  <si>
    <t>~FI_Process</t>
  </si>
  <si>
    <t>Sets</t>
  </si>
  <si>
    <t>TechDesc</t>
  </si>
  <si>
    <t>Tact</t>
  </si>
  <si>
    <t>Tcap</t>
  </si>
  <si>
    <t>Tslvl</t>
  </si>
  <si>
    <t>PrimaryCG</t>
  </si>
  <si>
    <t>Vintage</t>
  </si>
  <si>
    <t>*Process Set Membership</t>
  </si>
  <si>
    <t>Technology Name</t>
  </si>
  <si>
    <t>Technology Description</t>
  </si>
  <si>
    <t>Activity Unit</t>
  </si>
  <si>
    <t>Capacity Unit</t>
  </si>
  <si>
    <t>TimeSlice level of Process Activity</t>
  </si>
  <si>
    <t>Primary Commodity Group</t>
  </si>
  <si>
    <t>Vintage Tracking</t>
  </si>
  <si>
    <t>CHP</t>
  </si>
  <si>
    <t>ELE</t>
  </si>
  <si>
    <t>HPL</t>
  </si>
  <si>
    <t>YES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</si>
  <si>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</si>
  <si>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</si>
  <si>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</si>
  <si>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</si>
  <si>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</si>
  <si>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</si>
  <si>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</si>
  <si>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</si>
  <si>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</si>
  <si>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*Commodity 
Set Membership</t>
  </si>
  <si>
    <t>Commodity Name</t>
  </si>
  <si>
    <t>Commodity 
Description</t>
  </si>
  <si>
    <t>Sense of the Balance EQN.</t>
  </si>
  <si>
    <t>Timeslice Level</t>
  </si>
  <si>
    <t>Peak Monitoring</t>
  </si>
  <si>
    <t>Electricity Indicator</t>
  </si>
  <si>
    <t>NRG</t>
  </si>
  <si>
    <t>PJ</t>
  </si>
  <si>
    <t>CH4 ELC</t>
  </si>
  <si>
    <t>N2O ELC</t>
  </si>
  <si>
    <t>NOx ELC</t>
  </si>
  <si>
    <t>SO2 ELC</t>
  </si>
  <si>
    <t>ENV</t>
  </si>
  <si>
    <t>ton</t>
  </si>
  <si>
    <t>ELCSOL</t>
  </si>
  <si>
    <t>EMISSIONS~ELCNOX</t>
  </si>
  <si>
    <t>EMISSIONS~ELCCH4</t>
  </si>
  <si>
    <t>EMISSIONS~ELCN2O</t>
  </si>
  <si>
    <t>*Fuel Tech</t>
  </si>
  <si>
    <t>PRE</t>
  </si>
  <si>
    <t>HETC</t>
  </si>
  <si>
    <t>AP</t>
  </si>
  <si>
    <t>Advanced Pulverized</t>
  </si>
  <si>
    <t>GT</t>
  </si>
  <si>
    <t>Gas Turbine single Cycle</t>
  </si>
  <si>
    <t>ECNGAGTBPC4N</t>
  </si>
  <si>
    <t>GE</t>
  </si>
  <si>
    <t>Gas Engine</t>
  </si>
  <si>
    <t>Codes</t>
  </si>
  <si>
    <t>ST</t>
  </si>
  <si>
    <t>Steam Turbine</t>
  </si>
  <si>
    <t>SE</t>
  </si>
  <si>
    <t>Stirling Engines</t>
  </si>
  <si>
    <t>ECGBISEBPC1N</t>
  </si>
  <si>
    <t>HP</t>
  </si>
  <si>
    <t>Heat Pumps</t>
  </si>
  <si>
    <t>BO</t>
  </si>
  <si>
    <t>Boiler plant</t>
  </si>
  <si>
    <t>EHELCHPC1N</t>
  </si>
  <si>
    <t>EB</t>
  </si>
  <si>
    <t>Electri boilers</t>
  </si>
  <si>
    <t>04  Gas Turbine Single Cycle - Large Scale Plant decentralised</t>
  </si>
  <si>
    <t>04  Gas Turbine Single Cycle - Medium Scale Plant decentralised</t>
  </si>
  <si>
    <t>04  Gas Turbine Single Cycle - Mini Gasturbines decentralised</t>
  </si>
  <si>
    <t>05  Gas Turbine Combined Cycle - Steam Extraction decentralised</t>
  </si>
  <si>
    <t>06  Gas Engines decentralised</t>
  </si>
  <si>
    <t>08  Waste-to-Energy CHP Plant decentralised</t>
  </si>
  <si>
    <t>09  Biomass CHP, Steam Turbine - Woodchips Mediumwith flue gas condensation decentralised</t>
  </si>
  <si>
    <t>09  Biomass CHP, Steam Turbine - Woodchips Small decentralised</t>
  </si>
  <si>
    <t>09  Biomass CHP, Steam Turbine - Straw Medium decentralised</t>
  </si>
  <si>
    <t>09  Biomass CHP, Steam Turbine - Straw Small decentralised</t>
  </si>
  <si>
    <t>40 Large Heat Pumps - Ambient Temperature decentralised</t>
  </si>
  <si>
    <t>40  Absorption Heat Pumps - Flue Gas Condensation decentralised</t>
  </si>
  <si>
    <t>43  District Heating Boiler, Biomass Fired - Wood Chips decentralised</t>
  </si>
  <si>
    <t>43  District Heating Boiler, Biomass Fired - Straw decentralised</t>
  </si>
  <si>
    <t>44  District Heating Boiler, Gas Fired decentralised</t>
  </si>
  <si>
    <t>45  Geothermal District Heating - Absorption Heat Pump - 70 C decentralised</t>
  </si>
  <si>
    <t>45  Geothermal District Heating - Absorption Heat Pump - 50 C decentralised</t>
  </si>
  <si>
    <t>45  Geothermal District Heating - Electric Heat Pump - 70 C decentralised</t>
  </si>
  <si>
    <t>HETD</t>
  </si>
  <si>
    <t>01  Advanced Pulverized Fuel Power Plant - Coal centralised</t>
  </si>
  <si>
    <t>01  Advanced Pulverized Fuel Power Plant - Wood Pellets centralised</t>
  </si>
  <si>
    <t>01  Advanced Pulverized Fuel Power Plant - Natural Gas centralised</t>
  </si>
  <si>
    <t>04  Gas Turbine Single Cycle - Large Scale Plant centralised</t>
  </si>
  <si>
    <t>04  Gas Turbine Single Cycle - Medium Scale Plant centralised</t>
  </si>
  <si>
    <t>04  Gas Turbine Single Cycle - Mini Gasturbines centralised</t>
  </si>
  <si>
    <t>04  Gas Turbine Single Cycle - Micro Gasturbines centralised</t>
  </si>
  <si>
    <t>05  Gas Turbine Combined Cycle - Steam Extraction centralised</t>
  </si>
  <si>
    <t>06  Gas Engines centralised</t>
  </si>
  <si>
    <t>08  Waste-to-Energy CHP Plant centralised</t>
  </si>
  <si>
    <t>09  Biomass CHP, Steam Turbine - Woodchips Small centralised</t>
  </si>
  <si>
    <t>09  Biomass CHP, Steam Turbine - Straw Small centralised</t>
  </si>
  <si>
    <t>10  Stirling Engines, Gasified Biomass centralised</t>
  </si>
  <si>
    <t>40 Large Heat Pumps - Ambient Temperature centralised</t>
  </si>
  <si>
    <t>40  Large Heat Pumps - Temperature: 35 C centralised</t>
  </si>
  <si>
    <t>40  Absorption Heat Pumps - Flue Gas Condensation centralised</t>
  </si>
  <si>
    <t>42  Waste-to-Energy District Heating Plant  centralised</t>
  </si>
  <si>
    <t>43  District Heating Boiler, Biomass Fired - Wood Chips centralised</t>
  </si>
  <si>
    <t>43  District Heating Boiler, Biomass Fired - Straw centralised</t>
  </si>
  <si>
    <t>44  District Heating Boiler, Gas Fired centralised</t>
  </si>
  <si>
    <t>45  Geothermal District Heating - Absorption Heat Pump - 70 C centralised</t>
  </si>
  <si>
    <t>45  Geothermal District Heating - Absorption Heat Pump - 50 C centralised</t>
  </si>
  <si>
    <t>45  Geothermal District Heating - Electric Heat Pump - 70 C centralised</t>
  </si>
  <si>
    <t>20  Wind Turbines Onshore - Small &gt; 5 kW - 15</t>
  </si>
  <si>
    <t>20  Wind Turbines Onshore - Small &gt; 5 kW - 20</t>
  </si>
  <si>
    <t>20  Wind Turbines Onshore - Small &gt; 5 kW - 30</t>
  </si>
  <si>
    <t>20  Wind Turbines Onshore - Small &gt; 5 kW - 50</t>
  </si>
  <si>
    <t>20  Wind Turbines Onshore - Small &lt; 5 kW - 30</t>
  </si>
  <si>
    <t>20  Wind Turbines Onshore - Small &lt; 5 kW - 50</t>
  </si>
  <si>
    <t>20  Wind Turbines Onshore - Small &lt; 5 kW - 20</t>
  </si>
  <si>
    <t>20  Wind Turbines Onshore - Small &lt; 5 kW - 15</t>
  </si>
  <si>
    <t>EHWSTBOC2N</t>
  </si>
  <si>
    <t>ELCGEO</t>
  </si>
  <si>
    <t>Cost</t>
  </si>
  <si>
    <t>MIN</t>
  </si>
  <si>
    <t>*Total EFF</t>
  </si>
  <si>
    <t>Electrical EFF</t>
  </si>
  <si>
    <t>Total Efficiency</t>
  </si>
  <si>
    <t>*Tot EFF</t>
  </si>
  <si>
    <t>46  Solar District Heating decentralised</t>
  </si>
  <si>
    <t>Comm-IN-A</t>
  </si>
  <si>
    <t>Auxiliary Input</t>
  </si>
  <si>
    <t>Input</t>
  </si>
  <si>
    <t>Auxiliary Input Name</t>
  </si>
  <si>
    <t>*Cb-value</t>
  </si>
  <si>
    <t>Units of activity/unit of capacity</t>
  </si>
  <si>
    <t>Fraction of capacity in peak equations</t>
  </si>
  <si>
    <t>Annual availability/utilization factor</t>
  </si>
  <si>
    <t>Lead Time between investment decision and actual availability of capacity (equal to construction time)</t>
  </si>
  <si>
    <t>Technical life</t>
  </si>
  <si>
    <t>Ratio of heat produced to electricity produced</t>
  </si>
  <si>
    <t>Total cost of investment in new capacity</t>
  </si>
  <si>
    <t>Annual fixed O&amp;M cost</t>
  </si>
  <si>
    <t>Annual variable O&amp;M cost</t>
  </si>
  <si>
    <t>Emissions coefficient - Activity based</t>
  </si>
  <si>
    <t>The first year when a technology is available for Investment</t>
  </si>
  <si>
    <t>back-pressure mode divided by the maximum heat capacity</t>
  </si>
  <si>
    <t>EMISSIONS~ELCSO2</t>
  </si>
  <si>
    <t>Input name</t>
  </si>
  <si>
    <t>Output name</t>
  </si>
  <si>
    <t>ELCAMB</t>
  </si>
  <si>
    <t>ELCFGC</t>
  </si>
  <si>
    <t xml:space="preserve">Minimum capacity for technology </t>
  </si>
  <si>
    <t>1/Cb: 
Ratio of heat produced to electricity produced</t>
  </si>
  <si>
    <t>Cv: 
Ratio of electricity lost to heat gained</t>
  </si>
  <si>
    <t>Euro</t>
  </si>
  <si>
    <t xml:space="preserve">The back-pressure coefficient is defined as the maximum power generating capacity in </t>
  </si>
  <si>
    <t>05  Gas Turbine Combined Cycle - Backpressure centralised</t>
  </si>
  <si>
    <t>09  Biomass CHP, Steam Turbine - Woodchips Medium with flue gas condensation centralised</t>
  </si>
  <si>
    <t>Tekkat2013</t>
  </si>
  <si>
    <t>Tekkat2012</t>
  </si>
  <si>
    <t>IMR</t>
  </si>
  <si>
    <t>Person</t>
  </si>
  <si>
    <t>Date</t>
  </si>
  <si>
    <t>Reference</t>
  </si>
  <si>
    <t>Data from technology catalogues</t>
  </si>
  <si>
    <t>Estimated data</t>
  </si>
  <si>
    <t>09  Biomass CHP, Steam Turbine - Straw Medium with flue gas condensation centralised</t>
  </si>
  <si>
    <t>Deleted Technologies</t>
  </si>
  <si>
    <t>41  Electric Boiler decentralised</t>
  </si>
  <si>
    <t xml:space="preserve">Backpres-sure coef-ficient </t>
  </si>
  <si>
    <r>
      <t>1)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Identification of technology codes for the power and district heating sector</t>
    </r>
  </si>
  <si>
    <t>This is the rule to build the power plant name in the model:</t>
  </si>
  <si>
    <r>
      <t>&lt;Code&gt;&lt;Fuel Code&gt;&lt;Generator Type&gt;</t>
    </r>
    <r>
      <rPr>
        <u/>
        <sz val="11"/>
        <color rgb="FF008080"/>
        <rFont val="Calibri"/>
        <family val="2"/>
        <scheme val="minor"/>
      </rPr>
      <t>&lt;</t>
    </r>
    <r>
      <rPr>
        <sz val="11"/>
        <color theme="1"/>
        <rFont val="Calibri"/>
        <family val="2"/>
        <scheme val="minor"/>
      </rPr>
      <t>Number&gt;&lt;Existing or New&gt;</t>
    </r>
  </si>
  <si>
    <t>ETNGACCY1E</t>
  </si>
  <si>
    <t>ET</t>
  </si>
  <si>
    <t>NGA</t>
  </si>
  <si>
    <t>CCY</t>
  </si>
  <si>
    <t>E</t>
  </si>
  <si>
    <t>Electric Thermal</t>
  </si>
  <si>
    <t>Natural gas</t>
  </si>
  <si>
    <t>Combined Cycle</t>
  </si>
  <si>
    <t>Plant no.</t>
  </si>
  <si>
    <t>Existing</t>
  </si>
  <si>
    <t>Power Plant Types</t>
  </si>
  <si>
    <t>CODE</t>
  </si>
  <si>
    <t>Generator Type</t>
  </si>
  <si>
    <t>Thermal Electric</t>
  </si>
  <si>
    <t>STM</t>
  </si>
  <si>
    <t>ENG</t>
  </si>
  <si>
    <t>GTR</t>
  </si>
  <si>
    <t>Renewable</t>
  </si>
  <si>
    <t>ER</t>
  </si>
  <si>
    <t>DAM</t>
  </si>
  <si>
    <t>ROR</t>
  </si>
  <si>
    <t>WIN</t>
  </si>
  <si>
    <t>SOL</t>
  </si>
  <si>
    <t>GEC</t>
  </si>
  <si>
    <t>Combined heat and power</t>
  </si>
  <si>
    <t>EC</t>
  </si>
  <si>
    <t>COC</t>
  </si>
  <si>
    <t>BPC</t>
  </si>
  <si>
    <t>COD</t>
  </si>
  <si>
    <t>BPD</t>
  </si>
  <si>
    <t>EXC</t>
  </si>
  <si>
    <t>EXD</t>
  </si>
  <si>
    <t>Only heat (boilers , HP etc.)</t>
  </si>
  <si>
    <t>EH</t>
  </si>
  <si>
    <t>BOC</t>
  </si>
  <si>
    <t>BOD</t>
  </si>
  <si>
    <t>HPC</t>
  </si>
  <si>
    <t>HPD</t>
  </si>
  <si>
    <t>GEH</t>
  </si>
  <si>
    <t>Sector</t>
  </si>
  <si>
    <t>Heavy Fuel Oil</t>
  </si>
  <si>
    <t>Diesel</t>
  </si>
  <si>
    <t>Coal</t>
  </si>
  <si>
    <t>Nat. Gas</t>
  </si>
  <si>
    <t>Hydro</t>
  </si>
  <si>
    <t>Solar</t>
  </si>
  <si>
    <t>Wind</t>
  </si>
  <si>
    <t>Bio1</t>
  </si>
  <si>
    <t>Chips, pellets, wood waste</t>
  </si>
  <si>
    <t>Bio2</t>
  </si>
  <si>
    <t>Energy crops</t>
  </si>
  <si>
    <t>Bio3</t>
  </si>
  <si>
    <t>Straw</t>
  </si>
  <si>
    <t>Waste</t>
  </si>
  <si>
    <t>Geothermal</t>
  </si>
  <si>
    <t>ELC</t>
  </si>
  <si>
    <t>ELCHFO</t>
  </si>
  <si>
    <t>ELCDSL</t>
  </si>
  <si>
    <t>ELCHYD</t>
  </si>
  <si>
    <r>
      <t>ELCSOL</t>
    </r>
    <r>
      <rPr>
        <sz val="8"/>
        <color theme="1"/>
        <rFont val="Calibri"/>
        <family val="2"/>
        <scheme val="minor"/>
      </rPr>
      <t> </t>
    </r>
  </si>
  <si>
    <t>ELCENC</t>
  </si>
  <si>
    <t>Fuel Code</t>
  </si>
  <si>
    <t>HFO</t>
  </si>
  <si>
    <t>DSL</t>
  </si>
  <si>
    <t>COA</t>
  </si>
  <si>
    <t>HYD</t>
  </si>
  <si>
    <t>CPW</t>
  </si>
  <si>
    <t>ENC</t>
  </si>
  <si>
    <t>STR</t>
  </si>
  <si>
    <t>WST</t>
  </si>
  <si>
    <t>GEO</t>
  </si>
  <si>
    <r>
      <t> </t>
    </r>
    <r>
      <rPr>
        <sz val="10"/>
        <color theme="1"/>
        <rFont val="Calibri"/>
        <family val="2"/>
        <scheme val="minor"/>
      </rPr>
      <t xml:space="preserve">How to distinguish between thermal solar and PV ?  </t>
    </r>
  </si>
  <si>
    <t>E = existing, N = New</t>
  </si>
  <si>
    <r>
      <t>b)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Fuel names power and district heating sector</t>
    </r>
  </si>
  <si>
    <r>
      <t>c)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Existing or New plant</t>
    </r>
  </si>
  <si>
    <r>
      <t>a)</t>
    </r>
    <r>
      <rPr>
        <b/>
        <sz val="7"/>
        <color theme="1"/>
        <rFont val="Times New Roman"/>
        <family val="1"/>
      </rPr>
      <t xml:space="preserve">      </t>
    </r>
    <r>
      <rPr>
        <b/>
        <sz val="11"/>
        <color theme="1"/>
        <rFont val="Calibri"/>
        <family val="2"/>
        <scheme val="minor"/>
      </rPr>
      <t>Plant types</t>
    </r>
  </si>
  <si>
    <t>05  Gas Turbine Combined Cycle - Backpressure decentralised</t>
  </si>
  <si>
    <t>Ambient temperature</t>
  </si>
  <si>
    <t>AMB</t>
  </si>
  <si>
    <t>EHELCAMBHPC1N</t>
  </si>
  <si>
    <t>EHELCAMBHPC2N</t>
  </si>
  <si>
    <t xml:space="preserve">STM = Steam turbine, 
ENG = Engine internal combustion, 
GTR = Gas turbine, 
CCY = Combined cycle
DAM = Hydro Dam plant, ROR = Hydro run or river, 
WIN = wind turbine, SOL = Photovoltaic
COC = Condensing plant centralised, 
BPC = Back pressure plant centralised, 
COD = Condensing plant decentralised, 
BPD = Back pressure plant decentralised, 
EXC = Extraction plant centralised, EXD = Extraction plant decentralised, 
BOC = Boiler plant centralised, 
BOD = Boiler plant decentralised, 
HPC = Heat pumps centralised, 
HPD = Heat pumps decentralised, 
GEC = Geothermal CHP (only centralised), 
GEH = Geothermal heat (only centralised)
AP=Advanced Pulverized
GT=Gas Turbine single Cycle
GE=Gas Engine
ST=Steam Turbine
SE=Stirling Engines
HP=Heat Pumps
BO=Boiler plant
EB=Electri boilers
</t>
  </si>
  <si>
    <t xml:space="preserve"> Farvekonventioner (Color convention)</t>
  </si>
  <si>
    <t>Valutakurs (exhange rate)</t>
  </si>
  <si>
    <t>ELCSO2</t>
  </si>
  <si>
    <t>Mining ELCAMB - dummy tech</t>
  </si>
  <si>
    <t>Ambient Heat Temperature ELC</t>
  </si>
  <si>
    <t>MINELCAMB</t>
  </si>
  <si>
    <t>MINELCFGC</t>
  </si>
  <si>
    <t>Mining ELCFGC - dummy tech</t>
  </si>
  <si>
    <t>*ELC Input</t>
  </si>
  <si>
    <t>*Other Inputs</t>
  </si>
  <si>
    <t>Fixed ELCC Input Share</t>
  </si>
  <si>
    <t>Share-I~FX~ELCC</t>
  </si>
  <si>
    <t>*ELCC Input</t>
  </si>
  <si>
    <t>Electricity consumption</t>
  </si>
  <si>
    <t>Other consumptions (e.g. ambient heat)</t>
  </si>
  <si>
    <t>EHFGCHP3N</t>
  </si>
  <si>
    <t>*</t>
  </si>
  <si>
    <t>*MINELCFGC</t>
  </si>
  <si>
    <t>ELCSTM</t>
  </si>
  <si>
    <t>Fixed ELCSTM Input Share</t>
  </si>
  <si>
    <t>Share-I~FX~ELCSTM</t>
  </si>
  <si>
    <t>*Third inputs not Ambient air or geothermal heat</t>
  </si>
  <si>
    <t>Other consumptions (e.g. ambient heat and geothermal heat)</t>
  </si>
  <si>
    <t>46  Solar District Heating centralised incl.  Diurnal heat storage</t>
  </si>
  <si>
    <t>XBOELCSTM</t>
  </si>
  <si>
    <t>Boiler to deliver steam to geo ads heat pumps</t>
  </si>
  <si>
    <t>CEFF</t>
  </si>
  <si>
    <t>Steam for geothermal ELC</t>
  </si>
  <si>
    <t>Share-I~FX~0</t>
  </si>
  <si>
    <t>RIN</t>
  </si>
  <si>
    <t xml:space="preserve">Calculation of levilised cost at given fullload hours </t>
  </si>
  <si>
    <t>Assumed discount rate :</t>
  </si>
  <si>
    <t>Mkr/MW/y</t>
  </si>
  <si>
    <t>Assumed fullload hours</t>
  </si>
  <si>
    <t>h/y</t>
  </si>
  <si>
    <t>Fixed cost  yearly</t>
  </si>
  <si>
    <t>Variable  cost yearly</t>
  </si>
  <si>
    <t>kr/MWh/y</t>
  </si>
  <si>
    <t>Ser ud til at være en fejl, meget lave investerings opmkostninger  - genfindes i teknologikataloget</t>
  </si>
  <si>
    <t>kulandel</t>
  </si>
  <si>
    <t>PriceFct</t>
  </si>
  <si>
    <t>Deflator fra IMR 13. juni 2012 (både historisk og fremtid).</t>
  </si>
  <si>
    <t>Brændselspriser svarende til WEO2011 fra IMR 17/8-2012 (2011-2035).</t>
  </si>
  <si>
    <t>Orimulsion</t>
  </si>
  <si>
    <t>Fueloil</t>
  </si>
  <si>
    <t>Gasoil</t>
  </si>
  <si>
    <t>NatGas</t>
  </si>
  <si>
    <t>Peat</t>
  </si>
  <si>
    <t>Woodfuel</t>
  </si>
  <si>
    <t>Biogas</t>
  </si>
  <si>
    <t>E_crops</t>
  </si>
  <si>
    <t>Uran</t>
  </si>
  <si>
    <t>Prisfkt. fuelmix kul/biomasse</t>
  </si>
  <si>
    <t>2011-kr./GJ</t>
  </si>
  <si>
    <t>Deflator</t>
  </si>
  <si>
    <t>Inflation</t>
  </si>
  <si>
    <t xml:space="preserve">Råoliepris, CIF </t>
  </si>
  <si>
    <t>Kulpris an kraftværk</t>
  </si>
  <si>
    <t>Fuelolie an kraftværk</t>
  </si>
  <si>
    <t>Gasolie an kraftværk</t>
  </si>
  <si>
    <t>Naturgaspris an kraftværk</t>
  </si>
  <si>
    <t>Halmpris an kraftværk</t>
  </si>
  <si>
    <t>Træflispris an kraftværk</t>
  </si>
  <si>
    <t>Træpillepris an kraftværk</t>
  </si>
  <si>
    <t>Energiafgrøde-pris an værk</t>
  </si>
  <si>
    <t>kr/GJ</t>
  </si>
  <si>
    <t>%</t>
  </si>
  <si>
    <r>
      <t>kr/MWh</t>
    </r>
    <r>
      <rPr>
        <vertAlign val="subscript"/>
        <sz val="11"/>
        <rFont val="Calibri"/>
        <family val="2"/>
        <scheme val="minor"/>
      </rPr>
      <t>el</t>
    </r>
    <r>
      <rPr>
        <sz val="11"/>
        <rFont val="Calibri"/>
        <family val="2"/>
        <scheme val="minor"/>
      </rPr>
      <t>/y</t>
    </r>
  </si>
  <si>
    <t xml:space="preserve">Fuel Cost </t>
  </si>
  <si>
    <r>
      <t>Assumed efficiency heat (eff</t>
    </r>
    <r>
      <rPr>
        <vertAlign val="subscript"/>
        <sz val="11"/>
        <color theme="1"/>
        <rFont val="Calibri"/>
        <family val="2"/>
        <scheme val="minor"/>
      </rPr>
      <t>h)</t>
    </r>
  </si>
  <si>
    <t>kr/MWh</t>
  </si>
  <si>
    <r>
      <t>Total Fuel consumption F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= 1/eff</t>
    </r>
    <r>
      <rPr>
        <vertAlign val="subscript"/>
        <sz val="11"/>
        <color theme="1"/>
        <rFont val="Calibri"/>
        <family val="2"/>
        <scheme val="minor"/>
      </rPr>
      <t>el</t>
    </r>
  </si>
  <si>
    <r>
      <t>MWh</t>
    </r>
    <r>
      <rPr>
        <vertAlign val="subscript"/>
        <sz val="11"/>
        <color theme="1"/>
        <rFont val="Calibri"/>
        <family val="2"/>
        <scheme val="minor"/>
      </rPr>
      <t>heat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</si>
  <si>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MWh</t>
    </r>
    <r>
      <rPr>
        <vertAlign val="subscript"/>
        <sz val="11"/>
        <rFont val="Calibri"/>
        <family val="2"/>
        <scheme val="minor"/>
      </rPr>
      <t>tot</t>
    </r>
    <r>
      <rPr>
        <sz val="11"/>
        <rFont val="Calibri"/>
        <family val="2"/>
        <scheme val="minor"/>
      </rPr>
      <t>/MWh</t>
    </r>
    <r>
      <rPr>
        <vertAlign val="subscript"/>
        <sz val="11"/>
        <rFont val="Calibri"/>
        <family val="2"/>
        <scheme val="minor"/>
      </rPr>
      <t>el/</t>
    </r>
    <r>
      <rPr>
        <sz val="11"/>
        <rFont val="Calibri"/>
        <family val="2"/>
        <scheme val="minor"/>
      </rPr>
      <t>y</t>
    </r>
  </si>
  <si>
    <r>
      <t>Fuelcost related to elc C</t>
    </r>
    <r>
      <rPr>
        <vertAlign val="subscript"/>
        <sz val="11"/>
        <color theme="1"/>
        <rFont val="Calibri"/>
        <family val="2"/>
        <scheme val="minor"/>
      </rPr>
      <t>Felc</t>
    </r>
    <r>
      <rPr>
        <sz val="11"/>
        <color theme="1"/>
        <rFont val="Calibri"/>
        <family val="2"/>
        <scheme val="minor"/>
      </rPr>
      <t>=C</t>
    </r>
    <r>
      <rPr>
        <vertAlign val="subscript"/>
        <sz val="11"/>
        <color theme="1"/>
        <rFont val="Calibri"/>
        <family val="2"/>
        <scheme val="minor"/>
      </rPr>
      <t>fuel*(</t>
    </r>
    <r>
      <rPr>
        <sz val="11"/>
        <color theme="1"/>
        <rFont val="Calibri"/>
        <family val="2"/>
        <scheme val="minor"/>
      </rPr>
      <t>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-F</t>
    </r>
    <r>
      <rPr>
        <vertAlign val="subscript"/>
        <sz val="11"/>
        <color theme="1"/>
        <rFont val="Calibri"/>
        <family val="2"/>
        <scheme val="minor"/>
      </rPr>
      <t>h)</t>
    </r>
  </si>
  <si>
    <t>ELCWPE</t>
  </si>
  <si>
    <t>ELCWCH</t>
  </si>
  <si>
    <t xml:space="preserve">yearly capital cost pr capacity  </t>
  </si>
  <si>
    <t>yearly capital cost pr electricity/heat production</t>
  </si>
  <si>
    <t>Total yearly cost  pr. electricity produced</t>
  </si>
  <si>
    <r>
      <t>Fuelconsumption related to HEAT F</t>
    </r>
    <r>
      <rPr>
        <vertAlign val="subscript"/>
        <sz val="11"/>
        <color theme="1"/>
        <rFont val="Calibri"/>
        <family val="2"/>
        <scheme val="minor"/>
      </rPr>
      <t>h</t>
    </r>
    <r>
      <rPr>
        <sz val="11"/>
        <color theme="1"/>
        <rFont val="Calibri"/>
        <family val="2"/>
        <scheme val="minor"/>
      </rPr>
      <t>=(Eff</t>
    </r>
    <r>
      <rPr>
        <vertAlign val="subscript"/>
        <sz val="11"/>
        <color theme="1"/>
        <rFont val="Calibri"/>
        <family val="2"/>
        <scheme val="minor"/>
      </rPr>
      <t>tot</t>
    </r>
    <r>
      <rPr>
        <sz val="11"/>
        <color theme="1"/>
        <rFont val="Calibri"/>
        <family val="2"/>
        <scheme val="minor"/>
      </rPr>
      <t>-Eff</t>
    </r>
    <r>
      <rPr>
        <vertAlign val="subscript"/>
        <sz val="11"/>
        <color theme="1"/>
        <rFont val="Calibri"/>
        <family val="2"/>
        <scheme val="minor"/>
      </rPr>
      <t>el</t>
    </r>
    <r>
      <rPr>
        <sz val="11"/>
        <color theme="1"/>
        <rFont val="Calibri"/>
        <family val="2"/>
        <scheme val="minor"/>
      </rPr>
      <t>)/Eff</t>
    </r>
    <r>
      <rPr>
        <vertAlign val="subscript"/>
        <sz val="11"/>
        <color theme="1"/>
        <rFont val="Calibri"/>
        <family val="2"/>
        <scheme val="minor"/>
      </rPr>
      <t>h</t>
    </r>
  </si>
  <si>
    <t>ELC_CEN</t>
  </si>
  <si>
    <t xml:space="preserve">75% of wind O&amp;M cost is changed to fixed, from 100%  variable cost. According to the technology catalogue the major components of O &amp; M are insurance, repair, service agreement and land rent( 25% each). Repair and service agreement could be partly related to the production therefore I have put 25 % variable, but it could be discussed how all should be fixed cost. </t>
  </si>
  <si>
    <t>T71:U82</t>
  </si>
  <si>
    <t>3. feb 2014</t>
  </si>
  <si>
    <t>rin</t>
  </si>
  <si>
    <t xml:space="preserve"> O&amp;M of PV: O&amp;M cost PV is changed to 100% fixed cost, before 100%  variable cost.</t>
  </si>
  <si>
    <t>T83:U86</t>
  </si>
  <si>
    <t>Color</t>
  </si>
  <si>
    <t>DAYNITE</t>
  </si>
  <si>
    <t>Construction time</t>
  </si>
  <si>
    <t>Added the ILED parameter for the construction time</t>
  </si>
  <si>
    <t>MG</t>
  </si>
  <si>
    <t>ELC_DEC</t>
  </si>
  <si>
    <t>Column AE</t>
  </si>
  <si>
    <t>Rikke Næraa</t>
  </si>
  <si>
    <t>Construction times put in from the technologi katalog</t>
  </si>
  <si>
    <t>Adding 42 Waste -to- Energu District heating plant</t>
  </si>
  <si>
    <t>mg</t>
  </si>
  <si>
    <t>Integers for construction time included</t>
  </si>
  <si>
    <t xml:space="preserve">2 rows incerted and Data for a waste boiler included </t>
  </si>
  <si>
    <t>The cells was linked to a wrong cells starting from row 125  should be row 123  - this is now changed  - most of the data was the same but the cap to act factor was  0 instead of 0.03  cell V90</t>
  </si>
  <si>
    <t xml:space="preserve">42  Waste-to-Energy District Heating Centralised Plant </t>
  </si>
  <si>
    <t xml:space="preserve">42  Waste-to-Energy District Heating Decentralised Plant </t>
  </si>
  <si>
    <t>Name</t>
  </si>
  <si>
    <t>Sheet Name</t>
  </si>
  <si>
    <t>Cells</t>
  </si>
  <si>
    <t>Comments</t>
  </si>
  <si>
    <t>Olexandr Balyk</t>
  </si>
  <si>
    <t>Reduced effieciency by a factor 100</t>
  </si>
  <si>
    <t>Removed ILED because the model lacks waste based capacity to fulfill waste utilisation requirenment in 2012</t>
  </si>
  <si>
    <t>Maurizio Gargiulo</t>
  </si>
  <si>
    <t>Updated ILED column leaving only one data for technology. This is a process parameter so it is eough one value</t>
  </si>
  <si>
    <t>Added the ILED parameter for the construction time (was removed earlier to avoid infeasibility)</t>
  </si>
  <si>
    <t>RAMSES version 6.12 DATA SET</t>
  </si>
  <si>
    <t>DATA612_2012</t>
  </si>
  <si>
    <t>DNSF</t>
  </si>
  <si>
    <t>FUEL PRICES WITHOUT TAX</t>
  </si>
  <si>
    <t>Specific investment(2011-M€/MW)</t>
  </si>
  <si>
    <t>Fixed O&amp;M (€/MW/y)</t>
  </si>
  <si>
    <t>Variable O&amp;M (€/MWh/y)</t>
  </si>
  <si>
    <t>Full load hours (kWh/kW)</t>
  </si>
  <si>
    <t>CURR</t>
  </si>
  <si>
    <t>Currency unit</t>
  </si>
  <si>
    <t>MKr11</t>
  </si>
  <si>
    <t>ELCNGA,ELCSNG</t>
  </si>
  <si>
    <t>ELCNGA replaced by ELCNGA,ELCSNG</t>
  </si>
  <si>
    <t>Removed zeros in these cells</t>
  </si>
  <si>
    <t>Deleted the AFA values for wind and solar; AF is assigned in the trans file</t>
  </si>
  <si>
    <t>Deleted the AFA values for solar heating; AF is assigned in the trans file</t>
  </si>
  <si>
    <t>V51_54</t>
  </si>
  <si>
    <t>A mistake has been found for the VAR O&amp;M for tek 08 waste to energy  - the value per MJ input( waste ) was multiolied and not divided by the el eff  - the value is very high now ?</t>
  </si>
  <si>
    <t xml:space="preserve">When the AFA factor for the wind technologies has been deleted the fixed O&amp;M became zero - while it is mulitiplied by this factor  - now the capacity factor have been is put in manually </t>
  </si>
  <si>
    <t>Comment</t>
  </si>
  <si>
    <t>Notat vedrørende investeringsomkostninger af affaldsforbrænding - 12-01-2016</t>
  </si>
  <si>
    <t xml:space="preserve">Tech 08 CHP Waste changed to Back Pressure </t>
  </si>
  <si>
    <t xml:space="preserve">Number starting from 5 to ensure that it do not have the same name as the technology from the VT file tech a,b,c,d, ( c and D now moved and cganged to subres files </t>
  </si>
  <si>
    <t>Naming convention</t>
  </si>
  <si>
    <t>ECNGAGTEXC5N</t>
  </si>
  <si>
    <t>ECNGACCYBPC5N</t>
  </si>
  <si>
    <t>ECNGAGEBPC5N</t>
  </si>
  <si>
    <t>ECWSTBPC5N</t>
  </si>
  <si>
    <t>ECCPWSTBPC5N</t>
  </si>
  <si>
    <t>ECCPWSTBPC6N</t>
  </si>
  <si>
    <t>ECSTRSTBPC5N</t>
  </si>
  <si>
    <t>ECSTRSTBPC6N</t>
  </si>
  <si>
    <t>EHELCAMBHPC5N</t>
  </si>
  <si>
    <t>*EHFGCHP7N</t>
  </si>
  <si>
    <t>EHCPWBOC5N</t>
  </si>
  <si>
    <t>EHSTRBOC6N</t>
  </si>
  <si>
    <t>EHNGABOC5N</t>
  </si>
  <si>
    <t>EHGEOAHC5N</t>
  </si>
  <si>
    <t>EHGEOAHC6N</t>
  </si>
  <si>
    <t>EHGEOAHC7N</t>
  </si>
  <si>
    <t>EHSOLDHC5N</t>
  </si>
  <si>
    <t>EHWSTDHC5N</t>
  </si>
  <si>
    <t>ECCOAAPEXC5N</t>
  </si>
  <si>
    <t>ECCPWAPEXC5N</t>
  </si>
  <si>
    <t>ECNGAAPEXC5N</t>
  </si>
  <si>
    <t>ECNGAGTBPC5N</t>
  </si>
  <si>
    <t>ECNGAGTBPC6N</t>
  </si>
  <si>
    <t>ECNGAGTBPC7N</t>
  </si>
  <si>
    <t>ECNGAGTBPD5N</t>
  </si>
  <si>
    <t>ECNGAGTBPD6N</t>
  </si>
  <si>
    <t>ECNGAGTBPD7N</t>
  </si>
  <si>
    <t>ECNGAGTEXD5N</t>
  </si>
  <si>
    <t>ECNGACCYBPD5N</t>
  </si>
  <si>
    <t>ECNGAGEBPD5N</t>
  </si>
  <si>
    <t>ECWSTGEEXD5N</t>
  </si>
  <si>
    <t>ECCPWSTBPD5N</t>
  </si>
  <si>
    <t>ECCPWSTBPD6N</t>
  </si>
  <si>
    <t>ECSTRSTBPD5N</t>
  </si>
  <si>
    <t>ECSTRSTBPD6N</t>
  </si>
  <si>
    <t>EHELCAMBHPD5N</t>
  </si>
  <si>
    <t>*EHELCHPD7N</t>
  </si>
  <si>
    <t>EHELCEBD5N</t>
  </si>
  <si>
    <t>EHCPWBOD6N</t>
  </si>
  <si>
    <t>EHSTRBOD5N</t>
  </si>
  <si>
    <t>EHNGABOD5N</t>
  </si>
  <si>
    <t>EHGEOAHD5N</t>
  </si>
  <si>
    <t>EHGEOAHD6N</t>
  </si>
  <si>
    <t>EHGEOAHD7N</t>
  </si>
  <si>
    <t>EHSOLDHD5N</t>
  </si>
  <si>
    <t>EHWSTDHD5N</t>
  </si>
  <si>
    <t xml:space="preserve">the numbering have been adjusted and a mistake refering to teck 40 as geothermal  has been adjusted </t>
  </si>
  <si>
    <t>ECNGACCYBPCN1 changed to ECNGACCYBPC1N which is in accordance with the naming convention, same for decentral</t>
  </si>
  <si>
    <t>for all WST technologies INVCOST, FIXOM and VAROM  is changed according to the EA report 2016</t>
  </si>
  <si>
    <t>Removed tehnology MINELCGBI - the ELCGBI commodity is not used any more in this subres</t>
  </si>
  <si>
    <t>The technology IMPWAV has been moved together with the commodity definition WAV to the VT_DK_SUP template</t>
  </si>
  <si>
    <t>ELC_Processes</t>
  </si>
  <si>
    <t>New sheet with the FI_Process table moved from ELC_CEN</t>
  </si>
  <si>
    <t>ELC_Comm</t>
  </si>
  <si>
    <t>New sheet with the FI_Comm table moved from ELC_CEN</t>
  </si>
  <si>
    <t>Removed the wind medium size technologies</t>
  </si>
  <si>
    <t>The different types ofg technologies has been seperatet into 4 different technologies on for each start year</t>
  </si>
  <si>
    <t>The new PV tech are included in the processlist</t>
  </si>
  <si>
    <t>deleted  - there is no emission from the WINELC technology</t>
  </si>
  <si>
    <r>
      <t>MWh</t>
    </r>
    <r>
      <rPr>
        <vertAlign val="subscript"/>
        <sz val="9"/>
        <rFont val="Calibri"/>
        <family val="2"/>
        <scheme val="minor"/>
      </rPr>
      <t>tot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</si>
  <si>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MWh</t>
    </r>
    <r>
      <rPr>
        <vertAlign val="subscript"/>
        <sz val="9"/>
        <color theme="1"/>
        <rFont val="Calibri"/>
        <family val="2"/>
        <scheme val="minor"/>
      </rPr>
      <t>heat</t>
    </r>
    <r>
      <rPr>
        <sz val="9"/>
        <rFont val="Calibri"/>
        <family val="2"/>
        <scheme val="minor"/>
      </rPr>
      <t>/MWh</t>
    </r>
    <r>
      <rPr>
        <vertAlign val="subscript"/>
        <sz val="9"/>
        <rFont val="Calibri"/>
        <family val="2"/>
        <scheme val="minor"/>
      </rPr>
      <t>el/</t>
    </r>
    <r>
      <rPr>
        <sz val="9"/>
        <rFont val="Calibri"/>
        <family val="2"/>
        <scheme val="minor"/>
      </rPr>
      <t>y</t>
    </r>
  </si>
  <si>
    <r>
      <t>kr/MWh</t>
    </r>
    <r>
      <rPr>
        <vertAlign val="subscript"/>
        <sz val="9"/>
        <rFont val="Calibri"/>
        <family val="2"/>
        <scheme val="minor"/>
      </rPr>
      <t>el</t>
    </r>
    <r>
      <rPr>
        <sz val="9"/>
        <rFont val="Calibri"/>
        <family val="2"/>
        <scheme val="minor"/>
      </rPr>
      <t>/y</t>
    </r>
  </si>
  <si>
    <t>ETNGAGTC1N</t>
  </si>
  <si>
    <t>Gas Turbine Single Cycle - Large Scale Plant centralised</t>
  </si>
  <si>
    <t>ELCGAS</t>
  </si>
  <si>
    <t>ETNGAGTC2N</t>
  </si>
  <si>
    <t>Gas Turbine Single Cycle - Medium Scale Plant centralised</t>
  </si>
  <si>
    <t>ETWPEGTC1N</t>
  </si>
  <si>
    <t>Steam turbine biomass solid conventional centralised WPE</t>
  </si>
  <si>
    <t>ETWCHGTC1N</t>
  </si>
  <si>
    <t>Steam turbine biomass solid conventional centralised WCH</t>
  </si>
  <si>
    <t>Wood Pellets ELC</t>
  </si>
  <si>
    <t>Wood Chips and Waste ELC</t>
  </si>
  <si>
    <t>ETNGAGTD1N</t>
  </si>
  <si>
    <t>Gas Turbine Single Cycle - Large Scale Plant decentralised</t>
  </si>
  <si>
    <t>ETNGAGTD2N</t>
  </si>
  <si>
    <t>Gas Turbine Single Cycle - Medium Scale Plant decentralised</t>
  </si>
  <si>
    <t>ETWPEGTD1N</t>
  </si>
  <si>
    <t>Steam turbine biomass solid conventional decentralised WPE</t>
  </si>
  <si>
    <t>ETWCHGTD1N</t>
  </si>
  <si>
    <t>Steam turbine biomass solid conventional decentralised WCH</t>
  </si>
  <si>
    <t xml:space="preserve">Capacity factor </t>
  </si>
  <si>
    <t>Lars B. Termansen</t>
  </si>
  <si>
    <t>Intro</t>
  </si>
  <si>
    <t>Added intro sheet</t>
  </si>
  <si>
    <t>Description</t>
  </si>
  <si>
    <t>Purpose:</t>
  </si>
  <si>
    <t>Description:</t>
  </si>
  <si>
    <t>Relevant sectors</t>
  </si>
  <si>
    <t>Description of different sheets</t>
  </si>
  <si>
    <t>New technologies available for the power and heat sector</t>
  </si>
  <si>
    <t>The data is based on the technology catalgues</t>
  </si>
  <si>
    <t>Commodity definitions</t>
  </si>
  <si>
    <t>ELC_processes</t>
  </si>
  <si>
    <t>Process definition for new technologies</t>
  </si>
  <si>
    <t>ELC_CEN-Peak</t>
  </si>
  <si>
    <t>ELC_DEC_Peak</t>
  </si>
  <si>
    <t>Naming_convention</t>
  </si>
  <si>
    <t>Deleted technologies</t>
  </si>
  <si>
    <t>FuelPricesRAMSES</t>
  </si>
  <si>
    <t>Technologies available for central areas</t>
  </si>
  <si>
    <t>Technologies available for decentral areas</t>
  </si>
  <si>
    <t>Peak technologies available for central areas</t>
  </si>
  <si>
    <t>Peak technologies available for decentral areas</t>
  </si>
  <si>
    <t>Description of naming convention</t>
  </si>
  <si>
    <t>List of technologies removed from the model</t>
  </si>
  <si>
    <t>Fuel prices used in the RAMSES model</t>
  </si>
  <si>
    <t>43XX  District Heating Boiler, Biomass Fired - wood pellets centralised</t>
  </si>
  <si>
    <t>MKr15</t>
  </si>
  <si>
    <t>EHWPEBOC5N</t>
  </si>
  <si>
    <t>Electrical EFF/ heat efficiency for HOP</t>
  </si>
  <si>
    <t>43XX  District Heating Boiler, Biomass Fired - wood pellets decentralised</t>
  </si>
  <si>
    <t>EHWPEBOD5N</t>
  </si>
  <si>
    <t>Woodpellet HPO included in ELC_CEN og ELC_DEC xx43</t>
  </si>
  <si>
    <t>ELC_Processes_DEC</t>
  </si>
  <si>
    <t>Processes for DEC moved to a seperate sheet : ELC_process_DEC</t>
  </si>
  <si>
    <t>Giada</t>
  </si>
  <si>
    <t>Set ILED to 0 for the process ECWSTBPC5N by emptying the cell</t>
  </si>
  <si>
    <t>PJa</t>
  </si>
  <si>
    <t>ELC_Processes_CEN</t>
  </si>
  <si>
    <t>Linked to the technology table</t>
  </si>
  <si>
    <t>The unit was empty; now PJa</t>
  </si>
  <si>
    <t>Tekkat2016</t>
  </si>
  <si>
    <t>ASHEG12</t>
  </si>
  <si>
    <t>Asbjørn Hegelund</t>
  </si>
  <si>
    <t>Changed cells are yellow</t>
  </si>
  <si>
    <t>Updated with Techcatalog from aug16 - Gas, Wind, HP + updated ELC_CEN-Peak &amp; ELC_DEC-Peak + Addition of some techs in ELC_Prosesses_CEN</t>
  </si>
  <si>
    <t>Update with below values from Samfundsøkonomiske beregningsforudsætninger 2017</t>
  </si>
  <si>
    <t>2017-kr./GJ</t>
  </si>
  <si>
    <t>C7:E7</t>
  </si>
  <si>
    <t>Added HWA as a commodity.</t>
  </si>
  <si>
    <t>A127:A130</t>
  </si>
  <si>
    <t>Removed * to add technology to the model</t>
  </si>
  <si>
    <t>MIBSI</t>
  </si>
  <si>
    <t>41  Electric Boilers centralised - 10 MW</t>
  </si>
  <si>
    <t>41  Electric Boilers centralised - 1 MW</t>
  </si>
  <si>
    <t>EHELCEB5N10</t>
  </si>
  <si>
    <t>EHELCEB5N01</t>
  </si>
  <si>
    <t>ECWSTBPC6N</t>
  </si>
  <si>
    <t>ECWSTBPC7N</t>
  </si>
  <si>
    <t>08  Waste-to-Energy CHP Plant centralised - Large</t>
  </si>
  <si>
    <t>08  Waste-to-Energy CHP Plant centralised - Medium</t>
  </si>
  <si>
    <t>08  Waste-to-Energy CHP Plant centralised - Small</t>
  </si>
  <si>
    <t>Tech_data_Juli2017</t>
  </si>
  <si>
    <t>09  Biomass CHP, Steam Turbine - Woodchips Large with flue gas condensation centralised</t>
  </si>
  <si>
    <t>ECCPWSTBPC7N</t>
  </si>
  <si>
    <t>09  Biomass CHP, Steam Turbine - Straw Large with flue gas condensation centralised</t>
  </si>
  <si>
    <t>ECSTRSTBPC7N</t>
  </si>
  <si>
    <t>based on fuel input</t>
  </si>
  <si>
    <t>Mikkel Bosack Simonsen</t>
  </si>
  <si>
    <t>All</t>
  </si>
  <si>
    <t>30 Solid Oxide Fuel Cells - Continuous power generation</t>
  </si>
  <si>
    <t>31 Proton Exchange Membrane Fuel Cells - Continuous Power Generation</t>
  </si>
  <si>
    <t>Solar PV</t>
  </si>
  <si>
    <t>Updates of all technologies including coming changes for the technology catalogue</t>
  </si>
  <si>
    <t>Update son solar PV according to october 2017 updates in the technology catalogue (recalculated without mistake)</t>
  </si>
  <si>
    <t>22  Solar Photovoltaic Cells, Grid-connected Systems</t>
  </si>
  <si>
    <t>ERSOLPV5N</t>
  </si>
  <si>
    <t>20  Wind Turbines Onshore - Large</t>
  </si>
  <si>
    <t>ERWINELCWIN5N</t>
  </si>
  <si>
    <t>ERWINELCWIN1N</t>
  </si>
  <si>
    <t>21  Wind Turbines Offshore</t>
  </si>
  <si>
    <t>ECFCSO1N</t>
  </si>
  <si>
    <t>ECFCPM1N</t>
  </si>
  <si>
    <t>23  Wave Power</t>
  </si>
  <si>
    <t>ERWAV1N</t>
  </si>
  <si>
    <t>Solar heating</t>
  </si>
  <si>
    <t>Adjusted investment costs according to full load hours in trans file, from 600 Full load hours to 750 FLh.</t>
  </si>
  <si>
    <t>22 SMALL residential</t>
  </si>
  <si>
    <t>RESSOLPV5N</t>
  </si>
  <si>
    <t>12-03--2015</t>
  </si>
  <si>
    <t>Tekkat2015</t>
  </si>
  <si>
    <t>RESELCH</t>
  </si>
  <si>
    <t>RESELCA</t>
  </si>
  <si>
    <t>RESSOL</t>
  </si>
  <si>
    <t>22 MEDIUM sized commercial and industry</t>
  </si>
  <si>
    <t>INDSOLPV5N</t>
  </si>
  <si>
    <t>INDELC</t>
  </si>
  <si>
    <t>INDSOL</t>
  </si>
  <si>
    <t>%displayname%</t>
  </si>
  <si>
    <t>Corrected fuel cell plants to CHP instead of ELE under process set</t>
  </si>
  <si>
    <t>*EMISSIONS~ELCNOX</t>
  </si>
  <si>
    <t>*EMISSIONS~ELCCH4</t>
  </si>
  <si>
    <t>*EMISSIONS~ELCN2O</t>
  </si>
  <si>
    <t>*EMISSIONS~ELCSO2</t>
  </si>
  <si>
    <t>Share-O~LO</t>
  </si>
  <si>
    <t>Fixed Output Share</t>
  </si>
  <si>
    <t>Share-O~LO~0</t>
  </si>
  <si>
    <t>FI_Process</t>
  </si>
  <si>
    <t>ELCNGA,ELCSNG,ELCH2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</si>
</sst>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43" formatCode="_-* #,##0.00_-;\-* #,##0.00_-;_-* &quot;-&quot;??_-;_-@_-"/>
    <numFmt numFmtId="164" formatCode="_ * #,##0.00_ ;_ * \-#,##0.00_ ;_ * &quot;-&quot;??_ ;_ @_ "/>
    <numFmt numFmtId="165" formatCode="_(* #,##0_);_(* \(#,##0\);_(* &quot;-&quot;_);_(@_)"/>
    <numFmt numFmtId="166" formatCode="_(* #,##0.00_);_(* \(#,##0.00\);_(* &quot;-&quot;??_);_(@_)"/>
    <numFmt numFmtId="167" formatCode="0.0"/>
    <numFmt numFmtId="168" formatCode="_-&quot;€&quot;\ * #,##0.00_-;\-&quot;€&quot;\ * #,##0.00_-;_-&quot;€&quot;\ * &quot;-&quot;??_-;_-@_-"/>
    <numFmt numFmtId="169" formatCode="#,##0;\-\ #,##0;_-\ &quot;- &quot;"/>
    <numFmt numFmtId="170" formatCode="_-[$€-2]\ * #,##0.00_-;\-[$€-2]\ * #,##0.00_-;_-[$€-2]\ * &quot;-&quot;??_-"/>
    <numFmt numFmtId="171" formatCode="0.000"/>
    <numFmt numFmtId="172" formatCode="0.0000"/>
    <numFmt numFmtId="173" formatCode="0.000000"/>
    <numFmt numFmtId="174" formatCode="dd/mm/yy;@"/>
    <numFmt numFmtId="175" formatCode="0.00_)"/>
    <numFmt numFmtId="176" formatCode="0_)"/>
    <numFmt numFmtId="177" formatCode="\Te\x\t"/>
    <numFmt numFmtId="178" formatCode="_ * #,##0_ ;_ * \-#,##0_ ;_ * &quot;-&quot;??_ ;_ @_ "/>
    <numFmt numFmtId="179" formatCode="_([$€]* #,##0.00_);_([$€]* \(#,##0.00\);_([$€]* &quot;-&quot;??_);_(@_)"/>
    <numFmt numFmtId="180" formatCode="_-[$€-2]* #,##0.00_-;\-[$€-2]* #,##0.00_-;_-[$€-2]* &quot;-&quot;??_-"/>
    <numFmt numFmtId="181" formatCode="0_ ;\-0\ "/>
    <numFmt numFmtId="182" formatCode="0.00000"/>
  </numFmts>
  <fonts count="10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9"/>
      <name val="Calibri"/>
      <family val="2"/>
    </font>
    <font>
      <sz val="11"/>
      <color rgb="FF9C0006"/>
      <name val="Calibri"/>
      <family val="2"/>
      <scheme val="minor"/>
    </font>
    <font>
      <sz val="10"/>
      <color theme="1"/>
      <name val="Calibri"/>
      <family val="2"/>
    </font>
    <font>
      <sz val="10"/>
      <color rgb="FF9C0006"/>
      <name val="Calibri"/>
      <family val="2"/>
    </font>
    <font>
      <sz val="10"/>
      <name val="Helv"/>
    </font>
    <font>
      <sz val="11"/>
      <color indexed="17"/>
      <name val="Calibri"/>
      <family val="2"/>
    </font>
    <font>
      <b/>
      <sz val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rgb="FF000000"/>
      <name val="Verdana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b/>
      <sz val="7"/>
      <color theme="1"/>
      <name val="Times New Roman"/>
      <family val="1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rgb="FF00808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10"/>
      <name val="Calibri"/>
      <family val="2"/>
    </font>
    <font>
      <b/>
      <sz val="15"/>
      <name val="Calibri"/>
      <family val="2"/>
    </font>
    <font>
      <sz val="11"/>
      <color indexed="12"/>
      <name val="Calibri"/>
      <family val="2"/>
    </font>
    <font>
      <b/>
      <sz val="11"/>
      <name val="Calibri"/>
      <family val="2"/>
    </font>
    <font>
      <sz val="11"/>
      <color indexed="30"/>
      <name val="Calibri"/>
      <family val="2"/>
    </font>
    <font>
      <b/>
      <sz val="11"/>
      <color indexed="30"/>
      <name val="Calibri"/>
      <family val="2"/>
    </font>
    <font>
      <vertAlign val="subscript"/>
      <sz val="11"/>
      <color theme="1"/>
      <name val="Calibri"/>
      <family val="2"/>
      <scheme val="minor"/>
    </font>
    <font>
      <vertAlign val="subscript"/>
      <sz val="11"/>
      <name val="Calibri"/>
      <family val="2"/>
      <scheme val="minor"/>
    </font>
    <font>
      <sz val="12"/>
      <color theme="1"/>
      <name val="Times New Roman"/>
      <family val="1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  <charset val="204"/>
    </font>
    <font>
      <sz val="10"/>
      <name val="Courier"/>
      <family val="3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9"/>
      <name val="Geneva"/>
      <family val="2"/>
    </font>
    <font>
      <i/>
      <sz val="10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color rgb="FFFF0000"/>
      <name val="Arial"/>
      <family val="2"/>
    </font>
    <font>
      <vertAlign val="subscript"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0"/>
      <name val="Calibri"/>
      <family val="2"/>
    </font>
    <font>
      <sz val="10"/>
      <color rgb="FF006100"/>
      <name val="Calibri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8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2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7" tint="0.79998168889431442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495">
    <xf numFmtId="0" fontId="0" fillId="0" borderId="0"/>
    <xf numFmtId="0" fontId="1" fillId="0" borderId="0"/>
    <xf numFmtId="0" fontId="1" fillId="0" borderId="0"/>
    <xf numFmtId="0" fontId="1" fillId="0" borderId="0"/>
    <xf numFmtId="0" fontId="4" fillId="7" borderId="0" applyNumberFormat="0" applyBorder="0" applyAlignment="0" applyProtection="0"/>
    <xf numFmtId="0" fontId="5" fillId="0" borderId="0"/>
    <xf numFmtId="0" fontId="6" fillId="7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9" fontId="1" fillId="0" borderId="0" applyFont="0" applyFill="0" applyBorder="0" applyAlignment="0" applyProtection="0"/>
    <xf numFmtId="0" fontId="8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5" borderId="0" applyNumberFormat="0" applyBorder="0" applyAlignment="0" applyProtection="0"/>
    <xf numFmtId="0" fontId="11" fillId="14" borderId="0" applyNumberFormat="0" applyBorder="0" applyAlignment="0" applyProtection="0"/>
    <xf numFmtId="0" fontId="11" fillId="9" borderId="0" applyNumberFormat="0" applyBorder="0" applyAlignment="0" applyProtection="0"/>
    <xf numFmtId="0" fontId="11" fillId="12" borderId="0" applyNumberFormat="0" applyBorder="0" applyAlignment="0" applyProtection="0"/>
    <xf numFmtId="0" fontId="11" fillId="11" borderId="0" applyNumberFormat="0" applyBorder="0" applyAlignment="0" applyProtection="0"/>
    <xf numFmtId="0" fontId="10" fillId="0" borderId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3" fillId="28" borderId="8" applyNumberFormat="0" applyAlignment="0" applyProtection="0"/>
    <xf numFmtId="0" fontId="14" fillId="0" borderId="9" applyNumberFormat="0" applyFill="0" applyAlignment="0" applyProtection="0"/>
    <xf numFmtId="0" fontId="15" fillId="29" borderId="10" applyNumberFormat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2" fillId="26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7" borderId="0" applyNumberFormat="0" applyBorder="0" applyAlignment="0" applyProtection="0"/>
    <xf numFmtId="170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168" fontId="10" fillId="0" borderId="0" applyFont="0" applyFill="0" applyBorder="0" applyAlignment="0" applyProtection="0"/>
    <xf numFmtId="0" fontId="16" fillId="15" borderId="8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0" fontId="18" fillId="3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0" fillId="31" borderId="14" applyNumberFormat="0" applyFont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169" fontId="10" fillId="0" borderId="0" applyFont="0" applyFill="0" applyBorder="0" applyAlignment="0" applyProtection="0"/>
    <xf numFmtId="0" fontId="19" fillId="28" borderId="15" applyNumberFormat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5" fillId="0" borderId="0" applyNumberFormat="0" applyFill="0" applyBorder="0" applyAlignment="0" applyProtection="0"/>
    <xf numFmtId="0" fontId="26" fillId="0" borderId="16" applyNumberFormat="0" applyFill="0" applyAlignment="0" applyProtection="0"/>
    <xf numFmtId="0" fontId="27" fillId="12" borderId="0" applyNumberFormat="0" applyBorder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51" fillId="0" borderId="0" applyFont="0" applyFill="0" applyBorder="0" applyAlignment="0" applyProtection="0"/>
    <xf numFmtId="164" fontId="51" fillId="0" borderId="0" applyFont="0" applyFill="0" applyBorder="0" applyAlignment="0" applyProtection="0"/>
    <xf numFmtId="43" fontId="51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18" fillId="30" borderId="0" applyNumberFormat="0" applyBorder="0" applyAlignment="0" applyProtection="0"/>
    <xf numFmtId="0" fontId="26" fillId="0" borderId="16" applyNumberFormat="0" applyFill="0" applyAlignment="0" applyProtection="0"/>
    <xf numFmtId="0" fontId="1" fillId="0" borderId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8" fillId="0" borderId="0"/>
    <xf numFmtId="180" fontId="1" fillId="0" borderId="0"/>
    <xf numFmtId="3" fontId="1" fillId="47" borderId="40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4" fontId="72" fillId="45" borderId="42">
      <alignment horizontal="right" vertical="center"/>
    </xf>
    <xf numFmtId="4" fontId="72" fillId="45" borderId="42">
      <alignment horizontal="right" vertical="center"/>
    </xf>
    <xf numFmtId="3" fontId="78" fillId="48" borderId="40" applyNumberFormat="0" applyBorder="0" applyAlignment="0" applyProtection="0"/>
    <xf numFmtId="0" fontId="2" fillId="47" borderId="40" applyNumberFormat="0" applyBorder="0" applyAlignment="0" applyProtection="0"/>
    <xf numFmtId="164" fontId="7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75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3" fillId="0" borderId="43">
      <alignment horizontal="left" vertical="center" wrapText="1" indent="2"/>
    </xf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70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70" fontId="70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70" fillId="0" borderId="0" applyFont="0" applyFill="0" applyBorder="0" applyAlignment="0" applyProtection="0"/>
    <xf numFmtId="180" fontId="77" fillId="0" borderId="0" applyNumberFormat="0" applyFill="0" applyBorder="0" applyAlignment="0" applyProtection="0">
      <alignment vertical="top"/>
      <protection locked="0"/>
    </xf>
    <xf numFmtId="0" fontId="65" fillId="43" borderId="40" applyNumberFormat="0" applyAlignment="0" applyProtection="0"/>
    <xf numFmtId="4" fontId="73" fillId="0" borderId="0" applyBorder="0">
      <alignment horizontal="right" vertical="center"/>
    </xf>
    <xf numFmtId="164" fontId="11" fillId="0" borderId="0" applyFont="0" applyFill="0" applyBorder="0" applyAlignment="0" applyProtection="0"/>
    <xf numFmtId="164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9" fillId="0" borderId="0" applyNumberFormat="0" applyFill="0" applyBorder="0" applyAlignment="0" applyProtection="0"/>
    <xf numFmtId="181" fontId="80" fillId="49" borderId="0" applyNumberFormat="0" applyBorder="0" applyAlignment="0" applyProtection="0">
      <alignment horizontal="center" vertical="top" wrapText="1"/>
    </xf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0" fontId="1" fillId="0" borderId="0"/>
    <xf numFmtId="0" fontId="1" fillId="0" borderId="0"/>
    <xf numFmtId="0" fontId="7" fillId="0" borderId="0"/>
    <xf numFmtId="0" fontId="69" fillId="0" borderId="0" applyFill="0" applyBorder="0"/>
    <xf numFmtId="0" fontId="1" fillId="0" borderId="0"/>
    <xf numFmtId="0" fontId="7" fillId="0" borderId="0"/>
    <xf numFmtId="0" fontId="51" fillId="0" borderId="0"/>
    <xf numFmtId="0" fontId="1" fillId="0" borderId="0"/>
    <xf numFmtId="0" fontId="51" fillId="0" borderId="0"/>
    <xf numFmtId="0" fontId="43" fillId="0" borderId="0"/>
    <xf numFmtId="0" fontId="1" fillId="0" borderId="0"/>
    <xf numFmtId="0" fontId="51" fillId="0" borderId="0"/>
    <xf numFmtId="0" fontId="5" fillId="0" borderId="0"/>
    <xf numFmtId="0" fontId="70" fillId="0" borderId="0"/>
    <xf numFmtId="0" fontId="70" fillId="0" borderId="0"/>
    <xf numFmtId="0" fontId="51" fillId="0" borderId="0"/>
    <xf numFmtId="181" fontId="2" fillId="47" borderId="0" applyNumberFormat="0" applyBorder="0" applyAlignment="0"/>
    <xf numFmtId="4" fontId="73" fillId="0" borderId="42" applyFill="0" applyBorder="0" applyProtection="0">
      <alignment horizontal="right" vertical="center"/>
    </xf>
    <xf numFmtId="0" fontId="74" fillId="0" borderId="0" applyNumberFormat="0" applyFill="0" applyBorder="0" applyProtection="0">
      <alignment horizontal="left" vertical="center"/>
    </xf>
    <xf numFmtId="0" fontId="1" fillId="46" borderId="0" applyNumberFormat="0" applyFont="0" applyBorder="0" applyAlignment="0" applyProtection="0"/>
    <xf numFmtId="0" fontId="71" fillId="0" borderId="0"/>
    <xf numFmtId="0" fontId="1" fillId="31" borderId="14" applyNumberFormat="0" applyFont="0" applyAlignment="0" applyProtection="0"/>
    <xf numFmtId="0" fontId="70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70" fillId="31" borderId="14" applyNumberFormat="0" applyFont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70" fillId="0" borderId="0" applyFont="0" applyFill="0" applyBorder="0" applyAlignment="0" applyProtection="0"/>
    <xf numFmtId="0" fontId="66" fillId="44" borderId="41" applyNumberFormat="0" applyAlignment="0" applyProtection="0"/>
    <xf numFmtId="0" fontId="81" fillId="50" borderId="0" applyNumberFormat="0" applyAlignment="0" applyProtection="0"/>
    <xf numFmtId="0" fontId="82" fillId="33" borderId="0" applyNumberFormat="0" applyAlignment="0" applyProtection="0"/>
    <xf numFmtId="0" fontId="83" fillId="51" borderId="0" applyNumberFormat="0" applyAlignment="0" applyProtection="0"/>
    <xf numFmtId="181" fontId="56" fillId="37" borderId="0" applyNumberFormat="0" applyFill="0" applyBorder="0" applyAlignment="0">
      <alignment horizontal="center"/>
    </xf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1" fillId="0" borderId="0"/>
    <xf numFmtId="0" fontId="84" fillId="44" borderId="40" applyNumberFormat="0" applyFill="0" applyBorder="0" applyAlignment="0" applyProtection="0"/>
    <xf numFmtId="0" fontId="76" fillId="44" borderId="40" applyFill="0" applyBorder="0" applyAlignment="0" applyProtection="0"/>
    <xf numFmtId="4" fontId="73" fillId="0" borderId="0"/>
    <xf numFmtId="0" fontId="51" fillId="0" borderId="0"/>
    <xf numFmtId="164" fontId="51" fillId="0" borderId="0" applyFont="0" applyFill="0" applyBorder="0" applyAlignment="0" applyProtection="0"/>
    <xf numFmtId="0" fontId="1" fillId="0" borderId="0"/>
    <xf numFmtId="0" fontId="6" fillId="7" borderId="0" applyNumberFormat="0" applyBorder="0" applyAlignment="0" applyProtection="0"/>
    <xf numFmtId="0" fontId="67" fillId="44" borderId="40" applyNumberFormat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180" fontId="1" fillId="0" borderId="0"/>
    <xf numFmtId="3" fontId="1" fillId="47" borderId="40" applyFont="0" applyFill="0" applyBorder="0" applyAlignment="0" applyProtection="0"/>
    <xf numFmtId="0" fontId="1" fillId="0" borderId="0" applyNumberFormat="0" applyFont="0" applyFill="0" applyBorder="0" applyProtection="0">
      <alignment horizontal="left" vertical="center" indent="5"/>
    </xf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51" fillId="0" borderId="0"/>
    <xf numFmtId="0" fontId="1" fillId="0" borderId="0"/>
    <xf numFmtId="0" fontId="51" fillId="0" borderId="0"/>
    <xf numFmtId="0" fontId="1" fillId="0" borderId="0"/>
    <xf numFmtId="0" fontId="51" fillId="0" borderId="0"/>
    <xf numFmtId="0" fontId="1" fillId="46" borderId="0" applyNumberFormat="0" applyFon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0" fontId="1" fillId="31" borderId="14" applyNumberFormat="0" applyFont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16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0" fontId="51" fillId="0" borderId="0"/>
    <xf numFmtId="164" fontId="51" fillId="0" borderId="0" applyFont="0" applyFill="0" applyBorder="0" applyAlignment="0" applyProtection="0"/>
    <xf numFmtId="0" fontId="5" fillId="0" borderId="0"/>
    <xf numFmtId="0" fontId="51" fillId="56" borderId="0" applyNumberFormat="0" applyBorder="0" applyAlignment="0" applyProtection="0"/>
    <xf numFmtId="0" fontId="51" fillId="56" borderId="0" applyNumberFormat="0" applyBorder="0" applyAlignment="0" applyProtection="0"/>
    <xf numFmtId="0" fontId="51" fillId="60" borderId="0" applyNumberFormat="0" applyBorder="0" applyAlignment="0" applyProtection="0"/>
    <xf numFmtId="0" fontId="51" fillId="60" borderId="0" applyNumberFormat="0" applyBorder="0" applyAlignment="0" applyProtection="0"/>
    <xf numFmtId="0" fontId="51" fillId="64" borderId="0" applyNumberFormat="0" applyBorder="0" applyAlignment="0" applyProtection="0"/>
    <xf numFmtId="0" fontId="51" fillId="64" borderId="0" applyNumberFormat="0" applyBorder="0" applyAlignment="0" applyProtection="0"/>
    <xf numFmtId="0" fontId="51" fillId="68" borderId="0" applyNumberFormat="0" applyBorder="0" applyAlignment="0" applyProtection="0"/>
    <xf numFmtId="0" fontId="51" fillId="68" borderId="0" applyNumberFormat="0" applyBorder="0" applyAlignment="0" applyProtection="0"/>
    <xf numFmtId="0" fontId="51" fillId="72" borderId="0" applyNumberFormat="0" applyBorder="0" applyAlignment="0" applyProtection="0"/>
    <xf numFmtId="0" fontId="51" fillId="72" borderId="0" applyNumberFormat="0" applyBorder="0" applyAlignment="0" applyProtection="0"/>
    <xf numFmtId="0" fontId="51" fillId="76" borderId="0" applyNumberFormat="0" applyBorder="0" applyAlignment="0" applyProtection="0"/>
    <xf numFmtId="0" fontId="51" fillId="76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9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51" fillId="57" borderId="0" applyNumberFormat="0" applyBorder="0" applyAlignment="0" applyProtection="0"/>
    <xf numFmtId="0" fontId="51" fillId="57" borderId="0" applyNumberFormat="0" applyBorder="0" applyAlignment="0" applyProtection="0"/>
    <xf numFmtId="0" fontId="51" fillId="61" borderId="0" applyNumberFormat="0" applyBorder="0" applyAlignment="0" applyProtection="0"/>
    <xf numFmtId="0" fontId="51" fillId="61" borderId="0" applyNumberFormat="0" applyBorder="0" applyAlignment="0" applyProtection="0"/>
    <xf numFmtId="0" fontId="51" fillId="65" borderId="0" applyNumberFormat="0" applyBorder="0" applyAlignment="0" applyProtection="0"/>
    <xf numFmtId="0" fontId="51" fillId="65" borderId="0" applyNumberFormat="0" applyBorder="0" applyAlignment="0" applyProtection="0"/>
    <xf numFmtId="0" fontId="51" fillId="69" borderId="0" applyNumberFormat="0" applyBorder="0" applyAlignment="0" applyProtection="0"/>
    <xf numFmtId="0" fontId="51" fillId="69" borderId="0" applyNumberFormat="0" applyBorder="0" applyAlignment="0" applyProtection="0"/>
    <xf numFmtId="0" fontId="51" fillId="73" borderId="0" applyNumberFormat="0" applyBorder="0" applyAlignment="0" applyProtection="0"/>
    <xf numFmtId="0" fontId="51" fillId="73" borderId="0" applyNumberFormat="0" applyBorder="0" applyAlignment="0" applyProtection="0"/>
    <xf numFmtId="0" fontId="51" fillId="77" borderId="0" applyNumberFormat="0" applyBorder="0" applyAlignment="0" applyProtection="0"/>
    <xf numFmtId="0" fontId="51" fillId="77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3" borderId="0" applyNumberFormat="0" applyBorder="0" applyAlignment="0" applyProtection="0"/>
    <xf numFmtId="0" fontId="11" fillId="16" borderId="0" applyNumberFormat="0" applyBorder="0" applyAlignment="0" applyProtection="0"/>
    <xf numFmtId="0" fontId="11" fillId="19" borderId="0" applyNumberFormat="0" applyBorder="0" applyAlignment="0" applyProtection="0"/>
    <xf numFmtId="0" fontId="89" fillId="58" borderId="0" applyNumberFormat="0" applyBorder="0" applyAlignment="0" applyProtection="0"/>
    <xf numFmtId="0" fontId="89" fillId="62" borderId="0" applyNumberFormat="0" applyBorder="0" applyAlignment="0" applyProtection="0"/>
    <xf numFmtId="0" fontId="89" fillId="66" borderId="0" applyNumberFormat="0" applyBorder="0" applyAlignment="0" applyProtection="0"/>
    <xf numFmtId="0" fontId="89" fillId="70" borderId="0" applyNumberFormat="0" applyBorder="0" applyAlignment="0" applyProtection="0"/>
    <xf numFmtId="0" fontId="89" fillId="74" borderId="0" applyNumberFormat="0" applyBorder="0" applyAlignment="0" applyProtection="0"/>
    <xf numFmtId="0" fontId="89" fillId="78" borderId="0" applyNumberFormat="0" applyBorder="0" applyAlignment="0" applyProtection="0"/>
    <xf numFmtId="0" fontId="4" fillId="7" borderId="0" applyNumberFormat="0" applyBorder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0" fontId="13" fillId="28" borderId="8" applyNumberFormat="0" applyAlignment="0" applyProtection="0"/>
    <xf numFmtId="164" fontId="70" fillId="0" borderId="0" applyFont="0" applyFill="0" applyBorder="0" applyAlignment="0" applyProtection="0"/>
    <xf numFmtId="166" fontId="7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43" fontId="51" fillId="0" borderId="0" applyFont="0" applyFill="0" applyBorder="0" applyAlignment="0" applyProtection="0"/>
    <xf numFmtId="164" fontId="51" fillId="0" borderId="0" applyFont="0" applyFill="0" applyBorder="0" applyAlignment="0" applyProtection="0"/>
    <xf numFmtId="164" fontId="1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73" fillId="0" borderId="43">
      <alignment horizontal="left" vertical="center" wrapText="1" indent="2"/>
    </xf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  <xf numFmtId="170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168" fontId="70" fillId="0" borderId="0" applyFont="0" applyFill="0" applyBorder="0" applyAlignment="0" applyProtection="0"/>
    <xf numFmtId="0" fontId="92" fillId="52" borderId="0" applyNumberFormat="0" applyBorder="0" applyAlignment="0" applyProtection="0"/>
    <xf numFmtId="180" fontId="77" fillId="0" borderId="0" applyNumberFormat="0" applyFill="0" applyBorder="0" applyAlignment="0" applyProtection="0">
      <alignment vertical="top"/>
      <protection locked="0"/>
    </xf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16" fillId="15" borderId="8" applyNumberFormat="0" applyAlignment="0" applyProtection="0"/>
    <xf numFmtId="0" fontId="65" fillId="43" borderId="40" applyNumberFormat="0" applyAlignment="0" applyProtection="0"/>
    <xf numFmtId="43" fontId="51" fillId="0" borderId="0" applyFont="0" applyFill="0" applyBorder="0" applyAlignment="0" applyProtection="0"/>
    <xf numFmtId="0" fontId="88" fillId="53" borderId="44" applyNumberFormat="0" applyAlignment="0" applyProtection="0"/>
    <xf numFmtId="0" fontId="89" fillId="55" borderId="0" applyNumberFormat="0" applyBorder="0" applyAlignment="0" applyProtection="0"/>
    <xf numFmtId="0" fontId="89" fillId="59" borderId="0" applyNumberFormat="0" applyBorder="0" applyAlignment="0" applyProtection="0"/>
    <xf numFmtId="0" fontId="89" fillId="63" borderId="0" applyNumberFormat="0" applyBorder="0" applyAlignment="0" applyProtection="0"/>
    <xf numFmtId="0" fontId="89" fillId="67" borderId="0" applyNumberFormat="0" applyBorder="0" applyAlignment="0" applyProtection="0"/>
    <xf numFmtId="0" fontId="89" fillId="71" borderId="0" applyNumberFormat="0" applyBorder="0" applyAlignment="0" applyProtection="0"/>
    <xf numFmtId="0" fontId="89" fillId="75" borderId="0" applyNumberFormat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165" fontId="17" fillId="0" borderId="0" applyFont="0" applyFill="0" applyBorder="0" applyAlignment="0" applyProtection="0"/>
    <xf numFmtId="41" fontId="1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70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30" borderId="0" applyNumberFormat="0" applyBorder="0" applyAlignment="0" applyProtection="0"/>
    <xf numFmtId="0" fontId="5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" fillId="0" borderId="0"/>
    <xf numFmtId="0" fontId="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69" fillId="0" borderId="0" applyFill="0" applyBorder="0"/>
    <xf numFmtId="0" fontId="51" fillId="0" borderId="0"/>
    <xf numFmtId="0" fontId="1" fillId="0" borderId="0"/>
    <xf numFmtId="0" fontId="5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" fillId="0" borderId="0"/>
    <xf numFmtId="0" fontId="5" fillId="0" borderId="0"/>
    <xf numFmtId="0" fontId="5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0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70" fillId="0" borderId="0"/>
    <xf numFmtId="0" fontId="51" fillId="0" borderId="0"/>
    <xf numFmtId="0" fontId="51" fillId="0" borderId="0"/>
    <xf numFmtId="181" fontId="2" fillId="47" borderId="0" applyNumberFormat="0" applyBorder="0" applyAlignment="0"/>
    <xf numFmtId="4" fontId="73" fillId="0" borderId="42" applyFill="0" applyBorder="0" applyProtection="0">
      <alignment horizontal="right" vertical="center"/>
    </xf>
    <xf numFmtId="4" fontId="73" fillId="0" borderId="42" applyFill="0" applyBorder="0" applyProtection="0">
      <alignment horizontal="right" vertical="center"/>
    </xf>
    <xf numFmtId="0" fontId="11" fillId="0" borderId="0"/>
    <xf numFmtId="0" fontId="11" fillId="0" borderId="0"/>
    <xf numFmtId="0" fontId="70" fillId="31" borderId="14" applyNumberFormat="0" applyFont="0" applyAlignment="0" applyProtection="0"/>
    <xf numFmtId="0" fontId="70" fillId="31" borderId="14" applyNumberFormat="0" applyFont="0" applyAlignment="0" applyProtection="0"/>
    <xf numFmtId="0" fontId="1" fillId="31" borderId="14" applyNumberFormat="0" applyFont="0" applyAlignment="0" applyProtection="0"/>
    <xf numFmtId="0" fontId="70" fillId="31" borderId="14" applyNumberFormat="0" applyFont="0" applyAlignment="0" applyProtection="0"/>
    <xf numFmtId="0" fontId="1" fillId="31" borderId="14" applyNumberFormat="0" applyFont="0" applyAlignment="0" applyProtection="0"/>
    <xf numFmtId="0" fontId="51" fillId="54" borderId="45" applyNumberFormat="0" applyFont="0" applyAlignment="0" applyProtection="0"/>
    <xf numFmtId="0" fontId="51" fillId="54" borderId="45" applyNumberFormat="0" applyFont="0" applyAlignment="0" applyProtection="0"/>
    <xf numFmtId="0" fontId="51" fillId="54" borderId="45" applyNumberFormat="0" applyFont="0" applyAlignment="0" applyProtection="0"/>
    <xf numFmtId="0" fontId="51" fillId="54" borderId="45" applyNumberFormat="0" applyFont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169" fontId="70" fillId="0" borderId="0" applyFont="0" applyFill="0" applyBorder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19" fillId="28" borderId="15" applyNumberFormat="0" applyAlignment="0" applyProtection="0"/>
    <xf numFmtId="0" fontId="66" fillId="44" borderId="41" applyNumberFormat="0" applyAlignment="0" applyProtection="0"/>
    <xf numFmtId="9" fontId="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5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0" fontId="93" fillId="80" borderId="42" applyNumberFormat="0" applyProtection="0">
      <alignment horizontal="right"/>
    </xf>
    <xf numFmtId="0" fontId="94" fillId="80" borderId="0" applyNumberFormat="0" applyBorder="0" applyProtection="0">
      <alignment horizontal="left"/>
    </xf>
    <xf numFmtId="0" fontId="93" fillId="80" borderId="42" applyNumberFormat="0" applyProtection="0">
      <alignment horizontal="left"/>
    </xf>
    <xf numFmtId="49" fontId="1" fillId="0" borderId="42" applyFill="0" applyProtection="0">
      <alignment horizontal="right"/>
    </xf>
    <xf numFmtId="0" fontId="95" fillId="81" borderId="0" applyNumberFormat="0" applyBorder="0" applyProtection="0">
      <alignment horizontal="left"/>
    </xf>
    <xf numFmtId="1" fontId="1" fillId="0" borderId="42" applyFill="0" applyProtection="0">
      <alignment horizontal="right" vertical="top" wrapText="1"/>
    </xf>
    <xf numFmtId="2" fontId="1" fillId="0" borderId="42" applyFill="0" applyProtection="0">
      <alignment horizontal="right" vertical="top" wrapText="1"/>
    </xf>
    <xf numFmtId="0" fontId="1" fillId="0" borderId="42" applyFill="0" applyProtection="0">
      <alignment horizontal="right" vertical="top" wrapText="1"/>
    </xf>
    <xf numFmtId="0" fontId="93" fillId="80" borderId="42" applyNumberFormat="0" applyProtection="0">
      <alignment horizontal="right"/>
    </xf>
    <xf numFmtId="0" fontId="94" fillId="80" borderId="0" applyNumberFormat="0" applyBorder="0" applyProtection="0">
      <alignment horizontal="left"/>
    </xf>
    <xf numFmtId="0" fontId="93" fillId="80" borderId="42" applyNumberFormat="0" applyProtection="0">
      <alignment horizontal="left"/>
    </xf>
    <xf numFmtId="49" fontId="1" fillId="0" borderId="42" applyFill="0" applyProtection="0">
      <alignment horizontal="right"/>
    </xf>
    <xf numFmtId="0" fontId="95" fillId="81" borderId="0" applyNumberFormat="0" applyBorder="0" applyProtection="0">
      <alignment horizontal="left"/>
    </xf>
    <xf numFmtId="1" fontId="1" fillId="0" borderId="42" applyFill="0" applyProtection="0">
      <alignment horizontal="right" vertical="top" wrapText="1"/>
    </xf>
    <xf numFmtId="2" fontId="1" fillId="0" borderId="42" applyFill="0" applyProtection="0">
      <alignment horizontal="right" vertical="top" wrapText="1"/>
    </xf>
    <xf numFmtId="0" fontId="1" fillId="0" borderId="42" applyFill="0" applyProtection="0">
      <alignment horizontal="right" vertical="top" wrapText="1"/>
    </xf>
    <xf numFmtId="0" fontId="93" fillId="80" borderId="42" applyNumberFormat="0" applyProtection="0">
      <alignment horizontal="right"/>
    </xf>
    <xf numFmtId="0" fontId="94" fillId="80" borderId="0" applyNumberFormat="0" applyBorder="0" applyProtection="0">
      <alignment horizontal="left"/>
    </xf>
    <xf numFmtId="0" fontId="93" fillId="80" borderId="42" applyNumberFormat="0" applyProtection="0">
      <alignment horizontal="left"/>
    </xf>
    <xf numFmtId="49" fontId="1" fillId="0" borderId="42" applyFill="0" applyProtection="0">
      <alignment horizontal="right"/>
    </xf>
    <xf numFmtId="0" fontId="95" fillId="81" borderId="0" applyNumberFormat="0" applyBorder="0" applyProtection="0">
      <alignment horizontal="left"/>
    </xf>
    <xf numFmtId="1" fontId="1" fillId="0" borderId="42" applyFill="0" applyProtection="0">
      <alignment horizontal="right" vertical="top" wrapText="1"/>
    </xf>
    <xf numFmtId="2" fontId="1" fillId="0" borderId="42" applyFill="0" applyProtection="0">
      <alignment horizontal="right" vertical="top" wrapText="1"/>
    </xf>
    <xf numFmtId="0" fontId="1" fillId="0" borderId="42" applyFill="0" applyProtection="0">
      <alignment horizontal="right" vertical="top" wrapText="1"/>
    </xf>
    <xf numFmtId="0" fontId="93" fillId="80" borderId="42" applyNumberFormat="0" applyProtection="0">
      <alignment horizontal="right"/>
    </xf>
    <xf numFmtId="1" fontId="1" fillId="0" borderId="42" applyFill="0" applyProtection="0">
      <alignment horizontal="right" vertical="top" wrapText="1"/>
    </xf>
    <xf numFmtId="2" fontId="1" fillId="0" borderId="42" applyFill="0" applyProtection="0">
      <alignment horizontal="right" vertical="top" wrapText="1"/>
    </xf>
    <xf numFmtId="0" fontId="1" fillId="0" borderId="42" applyFill="0" applyProtection="0">
      <alignment horizontal="right" vertical="top" wrapText="1"/>
    </xf>
    <xf numFmtId="0" fontId="93" fillId="80" borderId="42" applyNumberFormat="0" applyProtection="0">
      <alignment horizontal="right"/>
    </xf>
    <xf numFmtId="0" fontId="94" fillId="80" borderId="0" applyNumberFormat="0" applyBorder="0" applyProtection="0">
      <alignment horizontal="left"/>
    </xf>
    <xf numFmtId="0" fontId="93" fillId="80" borderId="42" applyNumberFormat="0" applyProtection="0">
      <alignment horizontal="left"/>
    </xf>
    <xf numFmtId="49" fontId="1" fillId="0" borderId="42" applyFill="0" applyProtection="0">
      <alignment horizontal="right"/>
    </xf>
    <xf numFmtId="0" fontId="95" fillId="81" borderId="0" applyNumberFormat="0" applyBorder="0" applyProtection="0">
      <alignment horizontal="left"/>
    </xf>
    <xf numFmtId="1" fontId="1" fillId="0" borderId="42" applyFill="0" applyProtection="0">
      <alignment horizontal="right" vertical="top" wrapText="1"/>
    </xf>
    <xf numFmtId="2" fontId="1" fillId="0" borderId="42" applyFill="0" applyProtection="0">
      <alignment horizontal="right" vertical="top" wrapText="1"/>
    </xf>
    <xf numFmtId="0" fontId="1" fillId="0" borderId="42" applyFill="0" applyProtection="0">
      <alignment horizontal="right" vertical="top" wrapText="1"/>
    </xf>
    <xf numFmtId="0" fontId="93" fillId="80" borderId="42" applyNumberFormat="0" applyProtection="0">
      <alignment horizontal="right"/>
    </xf>
    <xf numFmtId="0" fontId="94" fillId="80" borderId="0" applyNumberFormat="0" applyBorder="0" applyProtection="0">
      <alignment horizontal="left"/>
    </xf>
    <xf numFmtId="0" fontId="93" fillId="80" borderId="42" applyNumberFormat="0" applyProtection="0">
      <alignment horizontal="left"/>
    </xf>
    <xf numFmtId="49" fontId="1" fillId="0" borderId="42" applyFill="0" applyProtection="0">
      <alignment horizontal="right"/>
    </xf>
    <xf numFmtId="0" fontId="95" fillId="81" borderId="0" applyNumberFormat="0" applyBorder="0" applyProtection="0">
      <alignment horizontal="left"/>
    </xf>
    <xf numFmtId="1" fontId="1" fillId="0" borderId="42" applyFill="0" applyProtection="0">
      <alignment horizontal="right" vertical="top" wrapText="1"/>
    </xf>
    <xf numFmtId="2" fontId="1" fillId="0" borderId="42" applyFill="0" applyProtection="0">
      <alignment horizontal="right" vertical="top" wrapText="1"/>
    </xf>
    <xf numFmtId="0" fontId="1" fillId="0" borderId="42" applyFill="0" applyProtection="0">
      <alignment horizontal="right" vertical="top" wrapText="1"/>
    </xf>
    <xf numFmtId="0" fontId="93" fillId="80" borderId="42" applyNumberFormat="0" applyProtection="0">
      <alignment horizontal="right"/>
    </xf>
    <xf numFmtId="0" fontId="94" fillId="80" borderId="0" applyNumberFormat="0" applyBorder="0" applyProtection="0">
      <alignment horizontal="left"/>
    </xf>
    <xf numFmtId="0" fontId="93" fillId="80" borderId="42" applyNumberFormat="0" applyProtection="0">
      <alignment horizontal="left"/>
    </xf>
    <xf numFmtId="49" fontId="1" fillId="0" borderId="42" applyFill="0" applyProtection="0">
      <alignment horizontal="right"/>
    </xf>
    <xf numFmtId="0" fontId="95" fillId="81" borderId="0" applyNumberFormat="0" applyBorder="0" applyProtection="0">
      <alignment horizontal="left"/>
    </xf>
    <xf numFmtId="1" fontId="1" fillId="0" borderId="42" applyFill="0" applyProtection="0">
      <alignment horizontal="right" vertical="top" wrapText="1"/>
    </xf>
    <xf numFmtId="2" fontId="1" fillId="0" borderId="42" applyFill="0" applyProtection="0">
      <alignment horizontal="right" vertical="top" wrapText="1"/>
    </xf>
    <xf numFmtId="0" fontId="1" fillId="0" borderId="42" applyFill="0" applyProtection="0">
      <alignment horizontal="right" vertical="top" wrapText="1"/>
    </xf>
    <xf numFmtId="0" fontId="23" fillId="0" borderId="11" applyNumberFormat="0" applyFill="0" applyAlignment="0" applyProtection="0"/>
    <xf numFmtId="0" fontId="24" fillId="0" borderId="12" applyNumberFormat="0" applyFill="0" applyAlignment="0" applyProtection="0"/>
    <xf numFmtId="0" fontId="25" fillId="0" borderId="13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26" fillId="0" borderId="16" applyNumberFormat="0" applyFill="0" applyAlignment="0" applyProtection="0"/>
    <xf numFmtId="0" fontId="1" fillId="0" borderId="0"/>
    <xf numFmtId="0" fontId="79" fillId="0" borderId="0" applyNumberFormat="0" applyFill="0" applyBorder="0" applyAlignment="0" applyProtection="0"/>
    <xf numFmtId="0" fontId="100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514">
    <xf numFmtId="0" fontId="0" fillId="0" borderId="0" xfId="0"/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/>
    </xf>
    <xf numFmtId="0" fontId="3" fillId="5" borderId="3" xfId="0" applyFont="1" applyFill="1" applyBorder="1" applyAlignment="1">
      <alignment horizontal="right"/>
    </xf>
    <xf numFmtId="0" fontId="3" fillId="5" borderId="4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left" vertical="center" wrapText="1"/>
    </xf>
    <xf numFmtId="0" fontId="4" fillId="7" borderId="0" xfId="4"/>
    <xf numFmtId="0" fontId="0" fillId="0" borderId="0" xfId="0" applyFill="1"/>
    <xf numFmtId="2" fontId="1" fillId="0" borderId="0" xfId="2" applyNumberFormat="1" applyFont="1" applyFill="1"/>
    <xf numFmtId="0" fontId="4" fillId="7" borderId="1" xfId="4" applyBorder="1" applyAlignment="1">
      <alignment horizontal="left" vertical="center" wrapText="1"/>
    </xf>
    <xf numFmtId="0" fontId="5" fillId="0" borderId="0" xfId="5" applyFill="1"/>
    <xf numFmtId="0" fontId="1" fillId="0" borderId="0" xfId="2" applyFont="1" applyFill="1"/>
    <xf numFmtId="0" fontId="1" fillId="0" borderId="5" xfId="2" applyFont="1" applyFill="1" applyBorder="1"/>
    <xf numFmtId="1" fontId="1" fillId="0" borderId="0" xfId="2" applyNumberFormat="1" applyFont="1" applyFill="1"/>
    <xf numFmtId="167" fontId="1" fillId="0" borderId="0" xfId="2" applyNumberFormat="1" applyFont="1" applyFill="1"/>
    <xf numFmtId="0" fontId="1" fillId="0" borderId="0" xfId="2" applyFont="1" applyFill="1" applyBorder="1"/>
    <xf numFmtId="2" fontId="0" fillId="0" borderId="0" xfId="0" applyNumberFormat="1" applyFill="1"/>
    <xf numFmtId="0" fontId="31" fillId="0" borderId="0" xfId="4" applyFont="1" applyFill="1"/>
    <xf numFmtId="0" fontId="34" fillId="0" borderId="0" xfId="0" applyFont="1" applyAlignment="1">
      <alignment vertical="center" wrapText="1"/>
    </xf>
    <xf numFmtId="0" fontId="3" fillId="5" borderId="3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 wrapText="1"/>
    </xf>
    <xf numFmtId="0" fontId="0" fillId="0" borderId="0" xfId="0" applyFont="1"/>
    <xf numFmtId="2" fontId="35" fillId="0" borderId="0" xfId="2" applyNumberFormat="1" applyFont="1" applyFill="1"/>
    <xf numFmtId="167" fontId="35" fillId="0" borderId="0" xfId="2" applyNumberFormat="1" applyFont="1" applyFill="1"/>
    <xf numFmtId="1" fontId="35" fillId="0" borderId="0" xfId="2" applyNumberFormat="1" applyFont="1" applyFill="1"/>
    <xf numFmtId="0" fontId="35" fillId="0" borderId="0" xfId="2" applyFont="1" applyFill="1"/>
    <xf numFmtId="167" fontId="36" fillId="0" borderId="0" xfId="0" applyNumberFormat="1" applyFont="1" applyFill="1"/>
    <xf numFmtId="0" fontId="37" fillId="6" borderId="0" xfId="36" applyFont="1" applyFill="1" applyBorder="1"/>
    <xf numFmtId="0" fontId="36" fillId="0" borderId="0" xfId="0" applyFont="1" applyFill="1"/>
    <xf numFmtId="0" fontId="0" fillId="0" borderId="0" xfId="0" applyFill="1" applyAlignment="1">
      <alignment vertical="top"/>
    </xf>
    <xf numFmtId="0" fontId="0" fillId="0" borderId="0" xfId="0" applyFill="1" applyAlignment="1">
      <alignment horizontal="right"/>
    </xf>
    <xf numFmtId="0" fontId="0" fillId="0" borderId="0" xfId="0" applyFill="1" applyAlignment="1">
      <alignment horizontal="right" vertical="top"/>
    </xf>
    <xf numFmtId="14" fontId="0" fillId="0" borderId="0" xfId="0" applyNumberFormat="1" applyFill="1" applyAlignment="1">
      <alignment horizontal="right"/>
    </xf>
    <xf numFmtId="0" fontId="28" fillId="0" borderId="18" xfId="0" applyFont="1" applyBorder="1"/>
    <xf numFmtId="0" fontId="36" fillId="0" borderId="21" xfId="0" applyFont="1" applyBorder="1"/>
    <xf numFmtId="0" fontId="38" fillId="0" borderId="19" xfId="0" applyFont="1" applyBorder="1"/>
    <xf numFmtId="0" fontId="39" fillId="0" borderId="0" xfId="0" applyFont="1"/>
    <xf numFmtId="2" fontId="4" fillId="0" borderId="0" xfId="4" applyNumberFormat="1" applyFill="1"/>
    <xf numFmtId="167" fontId="0" fillId="0" borderId="0" xfId="0" applyNumberFormat="1" applyFill="1"/>
    <xf numFmtId="171" fontId="6" fillId="0" borderId="0" xfId="6" applyNumberFormat="1" applyFill="1"/>
    <xf numFmtId="0" fontId="28" fillId="0" borderId="18" xfId="0" applyFont="1" applyFill="1" applyBorder="1"/>
    <xf numFmtId="0" fontId="0" fillId="0" borderId="0" xfId="0" applyAlignment="1">
      <alignment vertical="top"/>
    </xf>
    <xf numFmtId="0" fontId="0" fillId="0" borderId="2" xfId="0" applyFont="1" applyFill="1" applyBorder="1"/>
    <xf numFmtId="0" fontId="0" fillId="0" borderId="2" xfId="0" applyFont="1" applyBorder="1"/>
    <xf numFmtId="0" fontId="0" fillId="0" borderId="0" xfId="0" applyFont="1" applyFill="1"/>
    <xf numFmtId="0" fontId="0" fillId="0" borderId="0" xfId="0" applyFont="1" applyFill="1" applyAlignment="1">
      <alignment horizontal="right"/>
    </xf>
    <xf numFmtId="0" fontId="0" fillId="0" borderId="21" xfId="0" applyFont="1" applyFill="1" applyBorder="1"/>
    <xf numFmtId="0" fontId="0" fillId="0" borderId="5" xfId="0" applyFont="1" applyFill="1" applyBorder="1"/>
    <xf numFmtId="0" fontId="0" fillId="0" borderId="19" xfId="0" applyFont="1" applyBorder="1"/>
    <xf numFmtId="0" fontId="0" fillId="0" borderId="20" xfId="0" applyFont="1" applyBorder="1"/>
    <xf numFmtId="0" fontId="0" fillId="0" borderId="1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22" xfId="0" applyFont="1" applyBorder="1"/>
    <xf numFmtId="0" fontId="0" fillId="0" borderId="19" xfId="0" applyFont="1" applyFill="1" applyBorder="1"/>
    <xf numFmtId="0" fontId="0" fillId="0" borderId="20" xfId="0" applyFont="1" applyFill="1" applyBorder="1"/>
    <xf numFmtId="0" fontId="0" fillId="0" borderId="0" xfId="0" applyFont="1" applyFill="1" applyAlignment="1">
      <alignment vertical="top"/>
    </xf>
    <xf numFmtId="0" fontId="0" fillId="0" borderId="0" xfId="0" applyFont="1" applyFill="1" applyAlignment="1">
      <alignment horizontal="right" vertical="top"/>
    </xf>
    <xf numFmtId="14" fontId="0" fillId="0" borderId="0" xfId="0" applyNumberFormat="1" applyFont="1" applyFill="1" applyAlignment="1">
      <alignment horizontal="right"/>
    </xf>
    <xf numFmtId="0" fontId="31" fillId="6" borderId="0" xfId="36" applyFont="1" applyFill="1" applyBorder="1"/>
    <xf numFmtId="167" fontId="36" fillId="0" borderId="0" xfId="15" applyNumberFormat="1" applyFont="1" applyFill="1"/>
    <xf numFmtId="0" fontId="4" fillId="7" borderId="0" xfId="4" applyFont="1"/>
    <xf numFmtId="0" fontId="31" fillId="2" borderId="0" xfId="1" applyFont="1" applyFill="1"/>
    <xf numFmtId="0" fontId="31" fillId="3" borderId="1" xfId="0" applyFont="1" applyFill="1" applyBorder="1" applyAlignment="1">
      <alignment horizontal="left" vertical="center" wrapText="1"/>
    </xf>
    <xf numFmtId="0" fontId="31" fillId="3" borderId="2" xfId="0" applyFont="1" applyFill="1" applyBorder="1" applyAlignment="1">
      <alignment horizontal="left" vertical="center" wrapText="1"/>
    </xf>
    <xf numFmtId="0" fontId="31" fillId="8" borderId="1" xfId="0" applyFont="1" applyFill="1" applyBorder="1" applyAlignment="1">
      <alignment horizontal="left" vertical="center" wrapText="1"/>
    </xf>
    <xf numFmtId="0" fontId="31" fillId="4" borderId="1" xfId="0" applyFont="1" applyFill="1" applyBorder="1" applyAlignment="1">
      <alignment vertical="top" wrapText="1"/>
    </xf>
    <xf numFmtId="0" fontId="31" fillId="4" borderId="2" xfId="0" applyFont="1" applyFill="1" applyBorder="1" applyAlignment="1">
      <alignment vertical="top" wrapText="1"/>
    </xf>
    <xf numFmtId="0" fontId="31" fillId="5" borderId="3" xfId="0" applyFont="1" applyFill="1" applyBorder="1" applyAlignment="1">
      <alignment horizontal="left"/>
    </xf>
    <xf numFmtId="0" fontId="31" fillId="5" borderId="3" xfId="0" applyFont="1" applyFill="1" applyBorder="1" applyAlignment="1">
      <alignment horizontal="right"/>
    </xf>
    <xf numFmtId="0" fontId="31" fillId="5" borderId="4" xfId="0" applyFont="1" applyFill="1" applyBorder="1" applyAlignment="1">
      <alignment horizontal="right"/>
    </xf>
    <xf numFmtId="0" fontId="31" fillId="5" borderId="3" xfId="0" applyFont="1" applyFill="1" applyBorder="1" applyAlignment="1">
      <alignment horizontal="left" wrapText="1"/>
    </xf>
    <xf numFmtId="0" fontId="31" fillId="0" borderId="0" xfId="2" applyFont="1" applyFill="1"/>
    <xf numFmtId="0" fontId="31" fillId="0" borderId="5" xfId="2" applyFont="1" applyFill="1" applyBorder="1"/>
    <xf numFmtId="0" fontId="36" fillId="0" borderId="0" xfId="2" applyFont="1" applyFill="1"/>
    <xf numFmtId="2" fontId="36" fillId="0" borderId="0" xfId="2" applyNumberFormat="1" applyFont="1" applyFill="1"/>
    <xf numFmtId="2" fontId="31" fillId="0" borderId="0" xfId="2" applyNumberFormat="1" applyFont="1" applyFill="1"/>
    <xf numFmtId="167" fontId="36" fillId="0" borderId="0" xfId="2" applyNumberFormat="1" applyFont="1" applyFill="1"/>
    <xf numFmtId="1" fontId="36" fillId="0" borderId="0" xfId="2" applyNumberFormat="1" applyFont="1" applyFill="1"/>
    <xf numFmtId="1" fontId="31" fillId="0" borderId="0" xfId="2" applyNumberFormat="1" applyFont="1" applyFill="1"/>
    <xf numFmtId="2" fontId="40" fillId="0" borderId="0" xfId="2" applyNumberFormat="1" applyFont="1" applyFill="1"/>
    <xf numFmtId="0" fontId="31" fillId="6" borderId="0" xfId="2" applyFont="1" applyFill="1"/>
    <xf numFmtId="167" fontId="36" fillId="6" borderId="0" xfId="2" applyNumberFormat="1" applyFont="1" applyFill="1"/>
    <xf numFmtId="0" fontId="31" fillId="0" borderId="0" xfId="2" applyFont="1" applyFill="1" applyBorder="1"/>
    <xf numFmtId="0" fontId="40" fillId="0" borderId="0" xfId="2" applyFont="1" applyFill="1"/>
    <xf numFmtId="0" fontId="36" fillId="0" borderId="0" xfId="6" applyFont="1" applyFill="1"/>
    <xf numFmtId="0" fontId="0" fillId="0" borderId="0" xfId="5" applyFont="1"/>
    <xf numFmtId="0" fontId="31" fillId="0" borderId="0" xfId="5" applyFont="1" applyFill="1"/>
    <xf numFmtId="0" fontId="0" fillId="2" borderId="0" xfId="5" applyFont="1" applyFill="1"/>
    <xf numFmtId="0" fontId="31" fillId="3" borderId="1" xfId="5" applyFont="1" applyFill="1" applyBorder="1" applyAlignment="1">
      <alignment horizontal="left" vertical="center" wrapText="1"/>
    </xf>
    <xf numFmtId="0" fontId="31" fillId="3" borderId="2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left" vertical="center" wrapText="1"/>
    </xf>
    <xf numFmtId="0" fontId="31" fillId="4" borderId="3" xfId="5" applyFont="1" applyFill="1" applyBorder="1" applyAlignment="1">
      <alignment horizontal="right" vertical="center" wrapText="1"/>
    </xf>
    <xf numFmtId="0" fontId="31" fillId="4" borderId="4" xfId="5" applyFont="1" applyFill="1" applyBorder="1" applyAlignment="1">
      <alignment horizontal="right" vertical="center" wrapText="1"/>
    </xf>
    <xf numFmtId="0" fontId="31" fillId="5" borderId="3" xfId="5" applyFont="1" applyFill="1" applyBorder="1" applyAlignment="1">
      <alignment horizontal="left"/>
    </xf>
    <xf numFmtId="0" fontId="31" fillId="5" borderId="3" xfId="5" applyFont="1" applyFill="1" applyBorder="1" applyAlignment="1">
      <alignment horizontal="right"/>
    </xf>
    <xf numFmtId="0" fontId="31" fillId="0" borderId="0" xfId="20" applyFont="1" applyFill="1" applyBorder="1" applyAlignment="1">
      <alignment horizontal="left"/>
    </xf>
    <xf numFmtId="0" fontId="0" fillId="0" borderId="0" xfId="5" applyFont="1" applyFill="1"/>
    <xf numFmtId="0" fontId="42" fillId="0" borderId="18" xfId="0" applyFont="1" applyBorder="1"/>
    <xf numFmtId="0" fontId="43" fillId="0" borderId="2" xfId="0" applyFont="1" applyBorder="1"/>
    <xf numFmtId="0" fontId="43" fillId="0" borderId="0" xfId="0" applyFont="1"/>
    <xf numFmtId="0" fontId="43" fillId="0" borderId="0" xfId="0" applyFont="1" applyFill="1"/>
    <xf numFmtId="0" fontId="43" fillId="0" borderId="21" xfId="0" applyFont="1" applyBorder="1"/>
    <xf numFmtId="0" fontId="43" fillId="0" borderId="5" xfId="0" applyFont="1" applyBorder="1"/>
    <xf numFmtId="0" fontId="43" fillId="0" borderId="19" xfId="0" applyFont="1" applyBorder="1"/>
    <xf numFmtId="0" fontId="43" fillId="0" borderId="20" xfId="0" applyFont="1" applyBorder="1"/>
    <xf numFmtId="0" fontId="44" fillId="7" borderId="1" xfId="4" applyFont="1" applyBorder="1" applyAlignment="1">
      <alignment horizontal="left" vertical="center" wrapText="1"/>
    </xf>
    <xf numFmtId="0" fontId="37" fillId="2" borderId="0" xfId="1" applyFont="1" applyFill="1"/>
    <xf numFmtId="0" fontId="37" fillId="3" borderId="1" xfId="0" applyFont="1" applyFill="1" applyBorder="1" applyAlignment="1">
      <alignment horizontal="left" vertical="center" wrapText="1"/>
    </xf>
    <xf numFmtId="0" fontId="37" fillId="3" borderId="2" xfId="0" applyFont="1" applyFill="1" applyBorder="1" applyAlignment="1">
      <alignment horizontal="left" vertical="center" wrapText="1"/>
    </xf>
    <xf numFmtId="0" fontId="37" fillId="8" borderId="1" xfId="0" applyFont="1" applyFill="1" applyBorder="1" applyAlignment="1">
      <alignment horizontal="left" vertical="center" wrapText="1"/>
    </xf>
    <xf numFmtId="0" fontId="37" fillId="5" borderId="3" xfId="0" applyFont="1" applyFill="1" applyBorder="1" applyAlignment="1">
      <alignment horizontal="left"/>
    </xf>
    <xf numFmtId="0" fontId="37" fillId="5" borderId="3" xfId="0" applyFont="1" applyFill="1" applyBorder="1" applyAlignment="1">
      <alignment horizontal="right"/>
    </xf>
    <xf numFmtId="0" fontId="37" fillId="5" borderId="4" xfId="0" applyFont="1" applyFill="1" applyBorder="1" applyAlignment="1">
      <alignment horizontal="right"/>
    </xf>
    <xf numFmtId="0" fontId="37" fillId="0" borderId="0" xfId="2" applyFont="1" applyFill="1"/>
    <xf numFmtId="0" fontId="37" fillId="0" borderId="17" xfId="2" applyFont="1" applyFill="1" applyBorder="1"/>
    <xf numFmtId="2" fontId="37" fillId="0" borderId="0" xfId="2" applyNumberFormat="1" applyFont="1" applyFill="1"/>
    <xf numFmtId="1" fontId="37" fillId="0" borderId="0" xfId="2" applyNumberFormat="1" applyFont="1" applyFill="1"/>
    <xf numFmtId="167" fontId="37" fillId="0" borderId="0" xfId="2" applyNumberFormat="1" applyFont="1" applyFill="1"/>
    <xf numFmtId="0" fontId="37" fillId="0" borderId="5" xfId="2" applyFont="1" applyFill="1" applyBorder="1"/>
    <xf numFmtId="0" fontId="37" fillId="0" borderId="0" xfId="2" applyFont="1" applyFill="1" applyBorder="1"/>
    <xf numFmtId="167" fontId="11" fillId="0" borderId="0" xfId="17" applyNumberFormat="1" applyFont="1" applyFill="1"/>
    <xf numFmtId="2" fontId="37" fillId="0" borderId="0" xfId="6" applyNumberFormat="1" applyFont="1" applyFill="1"/>
    <xf numFmtId="0" fontId="37" fillId="0" borderId="0" xfId="6" applyFont="1" applyFill="1"/>
    <xf numFmtId="167" fontId="43" fillId="0" borderId="0" xfId="0" applyNumberFormat="1" applyFont="1" applyFill="1"/>
    <xf numFmtId="0" fontId="28" fillId="0" borderId="0" xfId="0" applyFont="1"/>
    <xf numFmtId="0" fontId="28" fillId="0" borderId="0" xfId="0" applyFont="1" applyAlignment="1">
      <alignment horizontal="left" vertical="center" indent="5"/>
    </xf>
    <xf numFmtId="0" fontId="0" fillId="0" borderId="0" xfId="0" applyAlignment="1">
      <alignment horizontal="left" vertical="center" indent="5"/>
    </xf>
    <xf numFmtId="0" fontId="46" fillId="0" borderId="0" xfId="0" applyFont="1" applyAlignment="1">
      <alignment vertical="center"/>
    </xf>
    <xf numFmtId="0" fontId="0" fillId="0" borderId="0" xfId="0" applyAlignment="1">
      <alignment horizontal="left" vertical="center" indent="2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49" fillId="0" borderId="23" xfId="0" applyFont="1" applyBorder="1" applyAlignment="1">
      <alignment vertical="center" wrapText="1"/>
    </xf>
    <xf numFmtId="0" fontId="49" fillId="0" borderId="26" xfId="0" applyFont="1" applyBorder="1" applyAlignment="1">
      <alignment vertical="center" wrapText="1"/>
    </xf>
    <xf numFmtId="0" fontId="46" fillId="0" borderId="27" xfId="0" applyFont="1" applyBorder="1" applyAlignment="1">
      <alignment vertical="center" wrapText="1"/>
    </xf>
    <xf numFmtId="0" fontId="46" fillId="0" borderId="28" xfId="0" applyFont="1" applyBorder="1" applyAlignment="1">
      <alignment vertical="center" wrapText="1"/>
    </xf>
    <xf numFmtId="0" fontId="47" fillId="0" borderId="0" xfId="0" applyFont="1"/>
    <xf numFmtId="0" fontId="0" fillId="0" borderId="0" xfId="0" quotePrefix="1"/>
    <xf numFmtId="0" fontId="46" fillId="0" borderId="30" xfId="0" applyFont="1" applyBorder="1" applyAlignment="1">
      <alignment vertical="center" wrapText="1"/>
    </xf>
    <xf numFmtId="0" fontId="50" fillId="0" borderId="28" xfId="0" applyFont="1" applyBorder="1" applyAlignment="1">
      <alignment vertical="center" wrapText="1"/>
    </xf>
    <xf numFmtId="0" fontId="28" fillId="0" borderId="0" xfId="0" applyFont="1" applyAlignment="1">
      <alignment vertical="center"/>
    </xf>
    <xf numFmtId="0" fontId="50" fillId="6" borderId="28" xfId="0" applyFont="1" applyFill="1" applyBorder="1" applyAlignment="1">
      <alignment vertical="center" wrapText="1"/>
    </xf>
    <xf numFmtId="0" fontId="46" fillId="6" borderId="28" xfId="0" applyFont="1" applyFill="1" applyBorder="1" applyAlignment="1">
      <alignment vertical="center" wrapText="1"/>
    </xf>
    <xf numFmtId="0" fontId="0" fillId="0" borderId="0" xfId="0" applyFont="1" applyFill="1" applyBorder="1"/>
    <xf numFmtId="0" fontId="4" fillId="0" borderId="0" xfId="4" applyFont="1" applyFill="1" applyBorder="1" applyAlignment="1">
      <alignment horizontal="left" vertical="center" wrapText="1"/>
    </xf>
    <xf numFmtId="0" fontId="0" fillId="0" borderId="0" xfId="5" applyFont="1" applyFill="1" applyBorder="1"/>
    <xf numFmtId="0" fontId="4" fillId="0" borderId="0" xfId="4" applyFont="1" applyFill="1" applyBorder="1"/>
    <xf numFmtId="0" fontId="4" fillId="0" borderId="0" xfId="4" applyFill="1"/>
    <xf numFmtId="0" fontId="4" fillId="32" borderId="1" xfId="4" applyFont="1" applyFill="1" applyBorder="1" applyAlignment="1">
      <alignment horizontal="left" vertical="center" wrapText="1"/>
    </xf>
    <xf numFmtId="0" fontId="31" fillId="0" borderId="0" xfId="36" applyFont="1" applyFill="1" applyBorder="1"/>
    <xf numFmtId="0" fontId="37" fillId="0" borderId="0" xfId="36" applyFont="1" applyFill="1" applyBorder="1"/>
    <xf numFmtId="0" fontId="31" fillId="4" borderId="0" xfId="0" applyFont="1" applyFill="1" applyBorder="1" applyAlignment="1">
      <alignment vertical="top" wrapText="1"/>
    </xf>
    <xf numFmtId="0" fontId="31" fillId="5" borderId="0" xfId="0" applyFont="1" applyFill="1" applyBorder="1" applyAlignment="1">
      <alignment horizontal="right"/>
    </xf>
    <xf numFmtId="171" fontId="37" fillId="0" borderId="0" xfId="2" applyNumberFormat="1" applyFont="1" applyFill="1"/>
    <xf numFmtId="2" fontId="36" fillId="6" borderId="0" xfId="2" applyNumberFormat="1" applyFont="1" applyFill="1"/>
    <xf numFmtId="0" fontId="0" fillId="6" borderId="0" xfId="0" applyFont="1" applyFill="1"/>
    <xf numFmtId="172" fontId="36" fillId="6" borderId="0" xfId="2" applyNumberFormat="1" applyFont="1" applyFill="1"/>
    <xf numFmtId="14" fontId="0" fillId="0" borderId="0" xfId="0" applyNumberFormat="1" applyFont="1" applyFill="1"/>
    <xf numFmtId="0" fontId="43" fillId="33" borderId="0" xfId="0" applyFont="1" applyFill="1"/>
    <xf numFmtId="0" fontId="31" fillId="33" borderId="1" xfId="0" applyFont="1" applyFill="1" applyBorder="1" applyAlignment="1">
      <alignment horizontal="left" vertical="center" wrapText="1"/>
    </xf>
    <xf numFmtId="0" fontId="31" fillId="33" borderId="3" xfId="0" applyFont="1" applyFill="1" applyBorder="1" applyAlignment="1">
      <alignment horizontal="right"/>
    </xf>
    <xf numFmtId="0" fontId="0" fillId="33" borderId="0" xfId="0" applyFont="1" applyFill="1"/>
    <xf numFmtId="2" fontId="36" fillId="33" borderId="0" xfId="6" applyNumberFormat="1" applyFont="1" applyFill="1"/>
    <xf numFmtId="0" fontId="0" fillId="33" borderId="0" xfId="0" applyFill="1"/>
    <xf numFmtId="2" fontId="0" fillId="0" borderId="0" xfId="0" applyNumberFormat="1" applyFont="1"/>
    <xf numFmtId="0" fontId="0" fillId="34" borderId="0" xfId="0" applyFont="1" applyFill="1" applyAlignment="1">
      <alignment wrapText="1"/>
    </xf>
    <xf numFmtId="0" fontId="0" fillId="34" borderId="0" xfId="0" applyFont="1" applyFill="1"/>
    <xf numFmtId="167" fontId="0" fillId="35" borderId="31" xfId="0" applyNumberFormat="1" applyFill="1" applyBorder="1" applyAlignment="1">
      <alignment horizontal="center"/>
    </xf>
    <xf numFmtId="9" fontId="52" fillId="34" borderId="0" xfId="437" applyFont="1" applyFill="1"/>
    <xf numFmtId="167" fontId="0" fillId="0" borderId="0" xfId="0" applyNumberFormat="1" applyFont="1" applyFill="1"/>
    <xf numFmtId="167" fontId="36" fillId="36" borderId="0" xfId="2" applyNumberFormat="1" applyFont="1" applyFill="1"/>
    <xf numFmtId="0" fontId="31" fillId="36" borderId="0" xfId="2" applyFont="1" applyFill="1"/>
    <xf numFmtId="0" fontId="31" fillId="36" borderId="0" xfId="2" applyFont="1" applyFill="1" applyBorder="1"/>
    <xf numFmtId="0" fontId="31" fillId="36" borderId="5" xfId="2" applyFont="1" applyFill="1" applyBorder="1"/>
    <xf numFmtId="0" fontId="36" fillId="36" borderId="0" xfId="2" applyFont="1" applyFill="1"/>
    <xf numFmtId="0" fontId="36" fillId="36" borderId="0" xfId="6" applyFont="1" applyFill="1"/>
    <xf numFmtId="0" fontId="0" fillId="36" borderId="0" xfId="0" applyFont="1" applyFill="1"/>
    <xf numFmtId="2" fontId="31" fillId="36" borderId="0" xfId="2" applyNumberFormat="1" applyFont="1" applyFill="1"/>
    <xf numFmtId="2" fontId="36" fillId="36" borderId="0" xfId="2" applyNumberFormat="1" applyFont="1" applyFill="1"/>
    <xf numFmtId="167" fontId="36" fillId="36" borderId="0" xfId="0" applyNumberFormat="1" applyFont="1" applyFill="1"/>
    <xf numFmtId="0" fontId="0" fillId="36" borderId="0" xfId="0" applyFont="1" applyFill="1" applyAlignment="1">
      <alignment horizontal="right"/>
    </xf>
    <xf numFmtId="167" fontId="0" fillId="36" borderId="31" xfId="0" applyNumberFormat="1" applyFill="1" applyBorder="1" applyAlignment="1">
      <alignment horizontal="center"/>
    </xf>
    <xf numFmtId="167" fontId="0" fillId="36" borderId="0" xfId="0" applyNumberFormat="1" applyFont="1" applyFill="1"/>
    <xf numFmtId="0" fontId="53" fillId="0" borderId="0" xfId="9" applyFont="1" applyFill="1" applyAlignment="1">
      <alignment horizontal="left"/>
    </xf>
    <xf numFmtId="0" fontId="37" fillId="0" borderId="0" xfId="9" applyFont="1" applyFill="1"/>
    <xf numFmtId="0" fontId="37" fillId="0" borderId="0" xfId="9" applyFont="1" applyFill="1" applyAlignment="1">
      <alignment horizontal="right"/>
    </xf>
    <xf numFmtId="0" fontId="37" fillId="0" borderId="0" xfId="9" applyFont="1" applyFill="1" applyAlignment="1">
      <alignment horizontal="center"/>
    </xf>
    <xf numFmtId="0" fontId="37" fillId="0" borderId="0" xfId="9" applyFont="1" applyFill="1" applyAlignment="1">
      <alignment horizontal="left"/>
    </xf>
    <xf numFmtId="0" fontId="37" fillId="37" borderId="0" xfId="9" applyFont="1" applyFill="1" applyAlignment="1">
      <alignment horizontal="center"/>
    </xf>
    <xf numFmtId="0" fontId="37" fillId="37" borderId="0" xfId="9" applyFont="1" applyFill="1"/>
    <xf numFmtId="0" fontId="54" fillId="0" borderId="0" xfId="9" applyFont="1" applyFill="1" applyAlignment="1" applyProtection="1">
      <alignment horizontal="left"/>
    </xf>
    <xf numFmtId="0" fontId="37" fillId="0" borderId="0" xfId="9" applyFont="1" applyFill="1" applyProtection="1"/>
    <xf numFmtId="174" fontId="53" fillId="0" borderId="0" xfId="9" applyNumberFormat="1" applyFont="1" applyFill="1" applyAlignment="1" applyProtection="1">
      <alignment horizontal="left"/>
    </xf>
    <xf numFmtId="0" fontId="53" fillId="0" borderId="0" xfId="9" applyFont="1" applyFill="1" applyProtection="1"/>
    <xf numFmtId="175" fontId="37" fillId="37" borderId="0" xfId="9" applyNumberFormat="1" applyFont="1" applyFill="1"/>
    <xf numFmtId="0" fontId="37" fillId="0" borderId="32" xfId="9" applyFont="1" applyFill="1" applyBorder="1" applyAlignment="1">
      <alignment horizontal="center"/>
    </xf>
    <xf numFmtId="0" fontId="37" fillId="0" borderId="33" xfId="9" applyFont="1" applyFill="1" applyBorder="1" applyAlignment="1">
      <alignment horizontal="left"/>
    </xf>
    <xf numFmtId="2" fontId="55" fillId="0" borderId="6" xfId="9" applyNumberFormat="1" applyFont="1" applyFill="1" applyBorder="1"/>
    <xf numFmtId="2" fontId="55" fillId="0" borderId="6" xfId="9" applyNumberFormat="1" applyFont="1" applyFill="1" applyBorder="1" applyAlignment="1">
      <alignment horizontal="right"/>
    </xf>
    <xf numFmtId="2" fontId="55" fillId="0" borderId="6" xfId="9" applyNumberFormat="1" applyFont="1" applyFill="1" applyBorder="1" applyAlignment="1" applyProtection="1">
      <alignment horizontal="right"/>
    </xf>
    <xf numFmtId="2" fontId="55" fillId="0" borderId="34" xfId="9" applyNumberFormat="1" applyFont="1" applyFill="1" applyBorder="1" applyAlignment="1">
      <alignment horizontal="right"/>
    </xf>
    <xf numFmtId="9" fontId="55" fillId="0" borderId="35" xfId="9" applyNumberFormat="1" applyFont="1" applyFill="1" applyBorder="1" applyAlignment="1">
      <alignment horizontal="center"/>
    </xf>
    <xf numFmtId="0" fontId="53" fillId="37" borderId="0" xfId="9" applyFont="1" applyFill="1" applyAlignment="1">
      <alignment horizontal="left"/>
    </xf>
    <xf numFmtId="0" fontId="37" fillId="0" borderId="0" xfId="9" applyFont="1" applyFill="1" applyAlignment="1" applyProtection="1">
      <alignment horizontal="center"/>
    </xf>
    <xf numFmtId="172" fontId="37" fillId="0" borderId="0" xfId="9" applyNumberFormat="1" applyFont="1" applyFill="1" applyAlignment="1">
      <alignment horizontal="center"/>
    </xf>
    <xf numFmtId="0" fontId="37" fillId="0" borderId="0" xfId="9" applyFont="1" applyFill="1" applyBorder="1" applyAlignment="1">
      <alignment horizontal="center"/>
    </xf>
    <xf numFmtId="0" fontId="37" fillId="37" borderId="0" xfId="9" applyFont="1" applyFill="1" applyBorder="1" applyAlignment="1">
      <alignment horizontal="center"/>
    </xf>
    <xf numFmtId="176" fontId="56" fillId="38" borderId="18" xfId="9" applyNumberFormat="1" applyFont="1" applyFill="1" applyBorder="1" applyAlignment="1" applyProtection="1">
      <alignment horizontal="left"/>
    </xf>
    <xf numFmtId="0" fontId="56" fillId="38" borderId="1" xfId="9" applyFont="1" applyFill="1" applyBorder="1" applyAlignment="1" applyProtection="1">
      <alignment horizontal="right"/>
    </xf>
    <xf numFmtId="0" fontId="56" fillId="38" borderId="2" xfId="9" applyFont="1" applyFill="1" applyBorder="1" applyAlignment="1" applyProtection="1">
      <alignment horizontal="right"/>
    </xf>
    <xf numFmtId="0" fontId="56" fillId="38" borderId="36" xfId="9" applyFont="1" applyFill="1" applyBorder="1" applyAlignment="1" applyProtection="1">
      <alignment horizontal="left"/>
    </xf>
    <xf numFmtId="176" fontId="56" fillId="38" borderId="7" xfId="9" applyNumberFormat="1" applyFont="1" applyFill="1" applyBorder="1" applyAlignment="1" applyProtection="1">
      <alignment horizontal="right"/>
    </xf>
    <xf numFmtId="0" fontId="56" fillId="38" borderId="37" xfId="9" applyFont="1" applyFill="1" applyBorder="1" applyAlignment="1" applyProtection="1">
      <alignment horizontal="right"/>
    </xf>
    <xf numFmtId="1" fontId="37" fillId="37" borderId="21" xfId="9" applyNumberFormat="1" applyFont="1" applyFill="1" applyBorder="1" applyAlignment="1" applyProtection="1">
      <alignment horizontal="left"/>
    </xf>
    <xf numFmtId="2" fontId="57" fillId="37" borderId="0" xfId="9" applyNumberFormat="1" applyFont="1" applyFill="1" applyBorder="1" applyAlignment="1" applyProtection="1">
      <alignment horizontal="right"/>
    </xf>
    <xf numFmtId="2" fontId="57" fillId="37" borderId="0" xfId="9" applyNumberFormat="1" applyFont="1" applyFill="1" applyBorder="1" applyAlignment="1">
      <alignment horizontal="right"/>
    </xf>
    <xf numFmtId="2" fontId="57" fillId="37" borderId="5" xfId="9" applyNumberFormat="1" applyFont="1" applyFill="1" applyBorder="1" applyAlignment="1" applyProtection="1">
      <alignment horizontal="right"/>
    </xf>
    <xf numFmtId="167" fontId="57" fillId="0" borderId="39" xfId="9" applyNumberFormat="1" applyFont="1" applyFill="1" applyBorder="1" applyAlignment="1" applyProtection="1">
      <alignment horizontal="center"/>
    </xf>
    <xf numFmtId="0" fontId="37" fillId="37" borderId="0" xfId="9" applyFont="1" applyFill="1" applyAlignment="1">
      <alignment horizontal="right"/>
    </xf>
    <xf numFmtId="0" fontId="37" fillId="0" borderId="21" xfId="9" applyFont="1" applyBorder="1" applyAlignment="1">
      <alignment horizontal="left"/>
    </xf>
    <xf numFmtId="171" fontId="55" fillId="0" borderId="39" xfId="9" applyNumberFormat="1" applyFont="1" applyFill="1" applyBorder="1" applyAlignment="1">
      <alignment horizontal="center"/>
    </xf>
    <xf numFmtId="0" fontId="55" fillId="0" borderId="0" xfId="9" applyFont="1" applyFill="1" applyBorder="1" applyAlignment="1">
      <alignment horizontal="center"/>
    </xf>
    <xf numFmtId="0" fontId="55" fillId="0" borderId="5" xfId="9" applyFont="1" applyFill="1" applyBorder="1" applyAlignment="1">
      <alignment horizontal="center"/>
    </xf>
    <xf numFmtId="10" fontId="55" fillId="37" borderId="39" xfId="438" applyNumberFormat="1" applyFont="1" applyFill="1" applyBorder="1" applyAlignment="1">
      <alignment horizontal="center"/>
    </xf>
    <xf numFmtId="167" fontId="58" fillId="0" borderId="39" xfId="9" applyNumberFormat="1" applyFont="1" applyFill="1" applyBorder="1" applyAlignment="1" applyProtection="1">
      <alignment horizontal="center"/>
    </xf>
    <xf numFmtId="2" fontId="55" fillId="37" borderId="0" xfId="9" applyNumberFormat="1" applyFont="1" applyFill="1" applyBorder="1" applyAlignment="1" applyProtection="1">
      <alignment horizontal="right"/>
    </xf>
    <xf numFmtId="2" fontId="55" fillId="37" borderId="5" xfId="9" applyNumberFormat="1" applyFont="1" applyFill="1" applyBorder="1" applyAlignment="1" applyProtection="1">
      <alignment horizontal="right"/>
    </xf>
    <xf numFmtId="0" fontId="55" fillId="0" borderId="39" xfId="9" applyFont="1" applyFill="1" applyBorder="1" applyAlignment="1">
      <alignment horizontal="center"/>
    </xf>
    <xf numFmtId="167" fontId="55" fillId="0" borderId="0" xfId="9" applyNumberFormat="1" applyFont="1" applyBorder="1" applyAlignment="1">
      <alignment horizontal="center"/>
    </xf>
    <xf numFmtId="167" fontId="55" fillId="0" borderId="5" xfId="9" applyNumberFormat="1" applyFont="1" applyBorder="1" applyAlignment="1">
      <alignment horizontal="center"/>
    </xf>
    <xf numFmtId="2" fontId="55" fillId="0" borderId="0" xfId="9" applyNumberFormat="1" applyFont="1" applyFill="1" applyBorder="1" applyAlignment="1" applyProtection="1">
      <alignment horizontal="right"/>
    </xf>
    <xf numFmtId="2" fontId="55" fillId="0" borderId="5" xfId="9" applyNumberFormat="1" applyFont="1" applyFill="1" applyBorder="1" applyAlignment="1" applyProtection="1">
      <alignment horizontal="right"/>
    </xf>
    <xf numFmtId="167" fontId="55" fillId="37" borderId="0" xfId="9" applyNumberFormat="1" applyFont="1" applyFill="1" applyBorder="1" applyAlignment="1">
      <alignment horizontal="center"/>
    </xf>
    <xf numFmtId="167" fontId="55" fillId="37" borderId="5" xfId="9" applyNumberFormat="1" applyFont="1" applyFill="1" applyBorder="1" applyAlignment="1">
      <alignment horizontal="center"/>
    </xf>
    <xf numFmtId="2" fontId="11" fillId="39" borderId="0" xfId="9" applyNumberFormat="1" applyFont="1" applyFill="1" applyBorder="1" applyAlignment="1">
      <alignment horizontal="center"/>
    </xf>
    <xf numFmtId="2" fontId="11" fillId="39" borderId="5" xfId="9" applyNumberFormat="1" applyFont="1" applyFill="1" applyBorder="1" applyAlignment="1">
      <alignment horizontal="center"/>
    </xf>
    <xf numFmtId="2" fontId="55" fillId="0" borderId="39" xfId="9" applyNumberFormat="1" applyFont="1" applyFill="1" applyBorder="1" applyAlignment="1">
      <alignment horizontal="center"/>
    </xf>
    <xf numFmtId="167" fontId="55" fillId="0" borderId="0" xfId="9" applyNumberFormat="1" applyFont="1" applyFill="1" applyBorder="1" applyAlignment="1">
      <alignment horizontal="center"/>
    </xf>
    <xf numFmtId="167" fontId="55" fillId="0" borderId="5" xfId="9" applyNumberFormat="1" applyFont="1" applyFill="1" applyBorder="1" applyAlignment="1">
      <alignment horizontal="center"/>
    </xf>
    <xf numFmtId="10" fontId="55" fillId="0" borderId="39" xfId="438" applyNumberFormat="1" applyFont="1" applyFill="1" applyBorder="1" applyAlignment="1">
      <alignment horizontal="center"/>
    </xf>
    <xf numFmtId="1" fontId="37" fillId="37" borderId="19" xfId="9" applyNumberFormat="1" applyFont="1" applyFill="1" applyBorder="1" applyAlignment="1" applyProtection="1">
      <alignment horizontal="left"/>
    </xf>
    <xf numFmtId="2" fontId="55" fillId="37" borderId="22" xfId="9" applyNumberFormat="1" applyFont="1" applyFill="1" applyBorder="1" applyAlignment="1" applyProtection="1">
      <alignment horizontal="right"/>
    </xf>
    <xf numFmtId="2" fontId="55" fillId="0" borderId="22" xfId="9" applyNumberFormat="1" applyFont="1" applyFill="1" applyBorder="1" applyAlignment="1" applyProtection="1">
      <alignment horizontal="right"/>
    </xf>
    <xf numFmtId="2" fontId="55" fillId="0" borderId="20" xfId="9" applyNumberFormat="1" applyFont="1" applyFill="1" applyBorder="1" applyAlignment="1" applyProtection="1">
      <alignment horizontal="right"/>
    </xf>
    <xf numFmtId="2" fontId="55" fillId="0" borderId="35" xfId="9" applyNumberFormat="1" applyFont="1" applyFill="1" applyBorder="1" applyAlignment="1">
      <alignment horizontal="center"/>
    </xf>
    <xf numFmtId="0" fontId="37" fillId="0" borderId="19" xfId="9" applyFont="1" applyBorder="1" applyAlignment="1">
      <alignment horizontal="left"/>
    </xf>
    <xf numFmtId="171" fontId="55" fillId="0" borderId="35" xfId="9" applyNumberFormat="1" applyFont="1" applyFill="1" applyBorder="1" applyAlignment="1">
      <alignment horizontal="center"/>
    </xf>
    <xf numFmtId="10" fontId="55" fillId="0" borderId="35" xfId="438" applyNumberFormat="1" applyFont="1" applyFill="1" applyBorder="1" applyAlignment="1">
      <alignment horizontal="center"/>
    </xf>
    <xf numFmtId="167" fontId="55" fillId="0" borderId="20" xfId="9" applyNumberFormat="1" applyFont="1" applyFill="1" applyBorder="1" applyAlignment="1">
      <alignment horizontal="center"/>
    </xf>
    <xf numFmtId="0" fontId="37" fillId="0" borderId="0" xfId="9" applyFont="1" applyFill="1" applyAlignment="1" applyProtection="1">
      <alignment horizontal="left"/>
    </xf>
    <xf numFmtId="0" fontId="37" fillId="0" borderId="0" xfId="9" applyFont="1" applyFill="1" applyAlignment="1" applyProtection="1">
      <alignment horizontal="right"/>
    </xf>
    <xf numFmtId="2" fontId="37" fillId="0" borderId="0" xfId="9" applyNumberFormat="1" applyFont="1" applyFill="1"/>
    <xf numFmtId="0" fontId="55" fillId="0" borderId="0" xfId="9" applyFont="1" applyFill="1" applyProtection="1"/>
    <xf numFmtId="9" fontId="0" fillId="0" borderId="0" xfId="437" applyFont="1" applyFill="1"/>
    <xf numFmtId="0" fontId="0" fillId="40" borderId="0" xfId="0" applyFont="1" applyFill="1" applyAlignment="1">
      <alignment wrapText="1"/>
    </xf>
    <xf numFmtId="167" fontId="0" fillId="6" borderId="0" xfId="0" applyNumberFormat="1" applyFont="1" applyFill="1"/>
    <xf numFmtId="1" fontId="0" fillId="0" borderId="0" xfId="0" applyNumberFormat="1" applyFont="1" applyFill="1"/>
    <xf numFmtId="167" fontId="31" fillId="41" borderId="0" xfId="2" applyNumberFormat="1" applyFont="1" applyFill="1"/>
    <xf numFmtId="0" fontId="61" fillId="0" borderId="0" xfId="0" applyFont="1" applyAlignment="1">
      <alignment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62" fillId="4" borderId="1" xfId="0" applyFont="1" applyFill="1" applyBorder="1" applyAlignment="1">
      <alignment vertical="top" wrapText="1"/>
    </xf>
    <xf numFmtId="0" fontId="62" fillId="33" borderId="1" xfId="0" applyFont="1" applyFill="1" applyBorder="1" applyAlignment="1">
      <alignment vertical="top" wrapText="1"/>
    </xf>
    <xf numFmtId="0" fontId="62" fillId="4" borderId="1" xfId="0" applyFont="1" applyFill="1" applyBorder="1" applyAlignment="1">
      <alignment horizontal="left" vertical="top" wrapText="1"/>
    </xf>
    <xf numFmtId="0" fontId="63" fillId="0" borderId="0" xfId="0" applyFont="1" applyAlignment="1">
      <alignment vertical="top"/>
    </xf>
    <xf numFmtId="177" fontId="0" fillId="2" borderId="0" xfId="5" applyNumberFormat="1" applyFont="1" applyFill="1"/>
    <xf numFmtId="177" fontId="0" fillId="0" borderId="0" xfId="5" applyNumberFormat="1" applyFont="1"/>
    <xf numFmtId="177" fontId="41" fillId="3" borderId="6" xfId="5" applyNumberFormat="1" applyFont="1" applyFill="1" applyBorder="1"/>
    <xf numFmtId="177" fontId="31" fillId="10" borderId="0" xfId="5" quotePrefix="1" applyNumberFormat="1" applyFont="1" applyFill="1" applyBorder="1" applyAlignment="1">
      <alignment horizontal="left" vertical="top" wrapText="1"/>
    </xf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4" fillId="7" borderId="0" xfId="4" applyNumberFormat="1" applyFont="1"/>
    <xf numFmtId="177" fontId="0" fillId="0" borderId="0" xfId="0" applyNumberFormat="1" applyFont="1" applyFill="1"/>
    <xf numFmtId="177" fontId="0" fillId="0" borderId="0" xfId="0" applyNumberFormat="1"/>
    <xf numFmtId="177" fontId="0" fillId="0" borderId="0" xfId="0" applyNumberFormat="1" applyFont="1" applyFill="1" applyBorder="1"/>
    <xf numFmtId="177" fontId="0" fillId="0" borderId="0" xfId="5" applyNumberFormat="1" applyFont="1" applyFill="1" applyBorder="1"/>
    <xf numFmtId="177" fontId="4" fillId="0" borderId="0" xfId="4" applyNumberFormat="1" applyFont="1" applyFill="1" applyBorder="1"/>
    <xf numFmtId="177" fontId="31" fillId="0" borderId="0" xfId="20" applyNumberFormat="1" applyFont="1" applyFill="1" applyBorder="1" applyAlignment="1">
      <alignment horizontal="left"/>
    </xf>
    <xf numFmtId="177" fontId="31" fillId="0" borderId="0" xfId="5" applyNumberFormat="1" applyFont="1"/>
    <xf numFmtId="177" fontId="41" fillId="3" borderId="1" xfId="5" applyNumberFormat="1" applyFont="1" applyFill="1" applyBorder="1"/>
    <xf numFmtId="177" fontId="41" fillId="3" borderId="1" xfId="5" applyNumberFormat="1" applyFont="1" applyFill="1" applyBorder="1" applyAlignment="1">
      <alignment horizontal="left"/>
    </xf>
    <xf numFmtId="177" fontId="31" fillId="10" borderId="3" xfId="5" quotePrefix="1" applyNumberFormat="1" applyFont="1" applyFill="1" applyBorder="1" applyAlignment="1">
      <alignment horizontal="left" vertical="top" wrapText="1"/>
    </xf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1" fontId="36" fillId="0" borderId="0" xfId="2" applyNumberFormat="1" applyFont="1" applyFill="1"/>
    <xf numFmtId="171" fontId="36" fillId="6" borderId="0" xfId="2" applyNumberFormat="1" applyFont="1" applyFill="1"/>
    <xf numFmtId="177" fontId="4" fillId="0" borderId="0" xfId="4" applyNumberFormat="1" applyFont="1" applyFill="1"/>
    <xf numFmtId="177" fontId="31" fillId="0" borderId="0" xfId="4" applyNumberFormat="1" applyFont="1" applyFill="1"/>
    <xf numFmtId="0" fontId="9" fillId="0" borderId="0" xfId="5" applyFont="1" applyFill="1" applyBorder="1"/>
    <xf numFmtId="0" fontId="2" fillId="0" borderId="0" xfId="5" applyFont="1" applyFill="1" applyBorder="1" applyAlignment="1">
      <alignment horizontal="left" vertical="top" wrapText="1"/>
    </xf>
    <xf numFmtId="0" fontId="31" fillId="5" borderId="7" xfId="0" applyFont="1" applyFill="1" applyBorder="1" applyAlignment="1">
      <alignment horizontal="right"/>
    </xf>
    <xf numFmtId="0" fontId="31" fillId="3" borderId="6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/>
    </xf>
    <xf numFmtId="2" fontId="0" fillId="42" borderId="0" xfId="0" applyNumberFormat="1" applyFont="1" applyFill="1"/>
    <xf numFmtId="0" fontId="0" fillId="0" borderId="0" xfId="0" applyFill="1"/>
    <xf numFmtId="0" fontId="0" fillId="0" borderId="0" xfId="0" applyFont="1" applyFill="1" applyAlignment="1">
      <alignment horizontal="right"/>
    </xf>
    <xf numFmtId="0" fontId="31" fillId="0" borderId="0" xfId="2" applyFont="1" applyFill="1"/>
    <xf numFmtId="0" fontId="36" fillId="0" borderId="0" xfId="2" applyFont="1" applyFill="1"/>
    <xf numFmtId="167" fontId="36" fillId="0" borderId="0" xfId="2" applyNumberFormat="1" applyFont="1" applyFill="1"/>
    <xf numFmtId="167" fontId="31" fillId="0" borderId="0" xfId="2" applyNumberFormat="1" applyFont="1" applyFill="1"/>
    <xf numFmtId="0" fontId="0" fillId="0" borderId="0" xfId="0" applyFont="1" applyAlignment="1">
      <alignment horizontal="left"/>
    </xf>
    <xf numFmtId="167" fontId="52" fillId="0" borderId="0" xfId="2" applyNumberFormat="1" applyFont="1" applyFill="1"/>
    <xf numFmtId="14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wrapText="1"/>
    </xf>
    <xf numFmtId="0" fontId="31" fillId="0" borderId="0" xfId="0" applyFont="1" applyFill="1" applyBorder="1" applyAlignment="1">
      <alignment horizontal="right"/>
    </xf>
    <xf numFmtId="0" fontId="64" fillId="0" borderId="0" xfId="0" applyFont="1" applyBorder="1" applyAlignment="1">
      <alignment vertical="center" wrapText="1"/>
    </xf>
    <xf numFmtId="178" fontId="0" fillId="36" borderId="0" xfId="440" applyNumberFormat="1" applyFont="1" applyFill="1"/>
    <xf numFmtId="2" fontId="0" fillId="0" borderId="0" xfId="0" applyNumberFormat="1" applyFont="1" applyFill="1"/>
    <xf numFmtId="178" fontId="0" fillId="0" borderId="0" xfId="440" applyNumberFormat="1" applyFont="1" applyFill="1"/>
    <xf numFmtId="2" fontId="31" fillId="36" borderId="0" xfId="4" applyNumberFormat="1" applyFont="1" applyFill="1"/>
    <xf numFmtId="178" fontId="0" fillId="0" borderId="0" xfId="0" applyNumberFormat="1" applyFont="1" applyFill="1"/>
    <xf numFmtId="9" fontId="0" fillId="36" borderId="0" xfId="437" applyFont="1" applyFill="1"/>
    <xf numFmtId="0" fontId="1" fillId="0" borderId="0" xfId="657" applyFont="1" applyFill="1" applyBorder="1" applyAlignment="1"/>
    <xf numFmtId="0" fontId="31" fillId="35" borderId="0" xfId="2" applyFont="1" applyFill="1"/>
    <xf numFmtId="0" fontId="31" fillId="6" borderId="0" xfId="2" applyFont="1" applyFill="1" applyAlignment="1">
      <alignment horizontal="left"/>
    </xf>
    <xf numFmtId="14" fontId="31" fillId="6" borderId="0" xfId="2" applyNumberFormat="1" applyFont="1" applyFill="1" applyAlignment="1">
      <alignment horizontal="left"/>
    </xf>
    <xf numFmtId="171" fontId="85" fillId="47" borderId="42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31" fillId="0" borderId="0" xfId="2" applyFont="1" applyFill="1" applyAlignment="1">
      <alignment horizontal="left"/>
    </xf>
    <xf numFmtId="0" fontId="62" fillId="5" borderId="3" xfId="0" applyFont="1" applyFill="1" applyBorder="1" applyAlignment="1">
      <alignment horizontal="left"/>
    </xf>
    <xf numFmtId="0" fontId="62" fillId="5" borderId="3" xfId="0" applyFont="1" applyFill="1" applyBorder="1" applyAlignment="1">
      <alignment horizontal="right"/>
    </xf>
    <xf numFmtId="0" fontId="62" fillId="5" borderId="4" xfId="0" applyFont="1" applyFill="1" applyBorder="1" applyAlignment="1">
      <alignment horizontal="right"/>
    </xf>
    <xf numFmtId="0" fontId="63" fillId="0" borderId="0" xfId="0" applyFont="1" applyFill="1"/>
    <xf numFmtId="0" fontId="62" fillId="5" borderId="0" xfId="0" applyFont="1" applyFill="1" applyBorder="1" applyAlignment="1">
      <alignment horizontal="right"/>
    </xf>
    <xf numFmtId="0" fontId="63" fillId="40" borderId="0" xfId="0" applyFont="1" applyFill="1" applyAlignment="1">
      <alignment wrapText="1"/>
    </xf>
    <xf numFmtId="0" fontId="63" fillId="0" borderId="0" xfId="0" applyFont="1"/>
    <xf numFmtId="0" fontId="63" fillId="0" borderId="0" xfId="0" applyFont="1" applyFill="1" applyAlignment="1">
      <alignment horizontal="right"/>
    </xf>
    <xf numFmtId="0" fontId="41" fillId="3" borderId="0" xfId="5" applyFont="1" applyFill="1" applyBorder="1"/>
    <xf numFmtId="177" fontId="62" fillId="10" borderId="0" xfId="5" quotePrefix="1" applyNumberFormat="1" applyFont="1" applyFill="1" applyBorder="1" applyAlignment="1">
      <alignment horizontal="left" vertical="top" wrapText="1"/>
    </xf>
    <xf numFmtId="0" fontId="62" fillId="10" borderId="0" xfId="5" applyFont="1" applyFill="1" applyBorder="1" applyAlignment="1">
      <alignment horizontal="left" vertical="top" wrapText="1"/>
    </xf>
    <xf numFmtId="177" fontId="31" fillId="0" borderId="0" xfId="2" applyNumberFormat="1" applyFont="1" applyFill="1" applyBorder="1"/>
    <xf numFmtId="0" fontId="37" fillId="4" borderId="1" xfId="0" applyFont="1" applyFill="1" applyBorder="1" applyAlignment="1">
      <alignment horizontal="left" vertical="top" wrapText="1"/>
    </xf>
    <xf numFmtId="0" fontId="37" fillId="4" borderId="2" xfId="0" applyFont="1" applyFill="1" applyBorder="1" applyAlignment="1">
      <alignment horizontal="left" vertical="top" wrapText="1"/>
    </xf>
    <xf numFmtId="0" fontId="5" fillId="0" borderId="0" xfId="5"/>
    <xf numFmtId="0" fontId="9" fillId="3" borderId="0" xfId="5" applyFont="1" applyFill="1" applyBorder="1"/>
    <xf numFmtId="0" fontId="2" fillId="10" borderId="0" xfId="5" applyFont="1" applyFill="1" applyBorder="1" applyAlignment="1">
      <alignment horizontal="left" vertical="top" wrapText="1"/>
    </xf>
    <xf numFmtId="177" fontId="4" fillId="7" borderId="0" xfId="4" applyNumberFormat="1"/>
    <xf numFmtId="0" fontId="90" fillId="0" borderId="0" xfId="3270" applyFont="1"/>
    <xf numFmtId="0" fontId="5" fillId="0" borderId="0" xfId="3270"/>
    <xf numFmtId="0" fontId="28" fillId="0" borderId="0" xfId="3270" applyFont="1"/>
    <xf numFmtId="0" fontId="28" fillId="0" borderId="22" xfId="3270" applyFont="1" applyBorder="1"/>
    <xf numFmtId="0" fontId="28" fillId="35" borderId="0" xfId="3270" applyFont="1" applyFill="1"/>
    <xf numFmtId="0" fontId="0" fillId="0" borderId="0" xfId="3270" applyFont="1"/>
    <xf numFmtId="0" fontId="91" fillId="79" borderId="0" xfId="3270" applyFont="1" applyFill="1"/>
    <xf numFmtId="0" fontId="37" fillId="82" borderId="0" xfId="2" applyFont="1" applyFill="1"/>
    <xf numFmtId="0" fontId="37" fillId="82" borderId="0" xfId="2" applyFont="1" applyFill="1" applyBorder="1"/>
    <xf numFmtId="0" fontId="37" fillId="82" borderId="5" xfId="2" applyFont="1" applyFill="1" applyBorder="1"/>
    <xf numFmtId="0" fontId="37" fillId="82" borderId="0" xfId="6" applyFont="1" applyFill="1"/>
    <xf numFmtId="0" fontId="0" fillId="82" borderId="0" xfId="0" applyFont="1" applyFill="1"/>
    <xf numFmtId="0" fontId="31" fillId="82" borderId="0" xfId="2" applyFont="1" applyFill="1"/>
    <xf numFmtId="0" fontId="31" fillId="82" borderId="0" xfId="2" applyFont="1" applyFill="1" applyBorder="1"/>
    <xf numFmtId="0" fontId="31" fillId="82" borderId="5" xfId="2" applyFont="1" applyFill="1" applyBorder="1"/>
    <xf numFmtId="0" fontId="36" fillId="82" borderId="0" xfId="6" applyFont="1" applyFill="1"/>
    <xf numFmtId="167" fontId="36" fillId="82" borderId="0" xfId="2" applyNumberFormat="1" applyFont="1" applyFill="1"/>
    <xf numFmtId="2" fontId="31" fillId="82" borderId="0" xfId="2" applyNumberFormat="1" applyFont="1" applyFill="1"/>
    <xf numFmtId="167" fontId="36" fillId="82" borderId="0" xfId="0" applyNumberFormat="1" applyFont="1" applyFill="1"/>
    <xf numFmtId="0" fontId="0" fillId="82" borderId="0" xfId="0" applyFont="1" applyFill="1" applyAlignment="1">
      <alignment horizontal="right"/>
    </xf>
    <xf numFmtId="167" fontId="0" fillId="82" borderId="31" xfId="0" applyNumberFormat="1" applyFill="1" applyBorder="1" applyAlignment="1">
      <alignment horizontal="center"/>
    </xf>
    <xf numFmtId="167" fontId="0" fillId="82" borderId="0" xfId="0" applyNumberFormat="1" applyFont="1" applyFill="1"/>
    <xf numFmtId="9" fontId="0" fillId="82" borderId="0" xfId="437" applyFont="1" applyFill="1"/>
    <xf numFmtId="0" fontId="0" fillId="0" borderId="0" xfId="0"/>
    <xf numFmtId="0" fontId="4" fillId="7" borderId="0" xfId="4"/>
    <xf numFmtId="0" fontId="0" fillId="0" borderId="0" xfId="0" applyFill="1"/>
    <xf numFmtId="0" fontId="5" fillId="0" borderId="0" xfId="5" applyFill="1"/>
    <xf numFmtId="0" fontId="1" fillId="0" borderId="0" xfId="2" applyFont="1" applyFill="1"/>
    <xf numFmtId="0" fontId="31" fillId="0" borderId="0" xfId="2" applyFont="1" applyFill="1"/>
    <xf numFmtId="0" fontId="0" fillId="33" borderId="0" xfId="0" applyFont="1" applyFill="1"/>
    <xf numFmtId="2" fontId="36" fillId="33" borderId="0" xfId="6" applyNumberFormat="1" applyFont="1" applyFill="1"/>
    <xf numFmtId="177" fontId="0" fillId="0" borderId="0" xfId="0" applyNumberFormat="1" applyFont="1"/>
    <xf numFmtId="177" fontId="31" fillId="0" borderId="0" xfId="2" applyNumberFormat="1" applyFont="1" applyFill="1"/>
    <xf numFmtId="177" fontId="0" fillId="0" borderId="0" xfId="5" applyNumberFormat="1" applyFont="1" applyFill="1"/>
    <xf numFmtId="177" fontId="0" fillId="0" borderId="0" xfId="0" applyNumberFormat="1"/>
    <xf numFmtId="177" fontId="5" fillId="2" borderId="0" xfId="5" applyNumberFormat="1" applyFill="1"/>
    <xf numFmtId="177" fontId="5" fillId="0" borderId="0" xfId="5" applyNumberFormat="1"/>
    <xf numFmtId="177" fontId="9" fillId="3" borderId="6" xfId="5" applyNumberFormat="1" applyFont="1" applyFill="1" applyBorder="1"/>
    <xf numFmtId="177" fontId="2" fillId="10" borderId="7" xfId="5" quotePrefix="1" applyNumberFormat="1" applyFont="1" applyFill="1" applyBorder="1" applyAlignment="1">
      <alignment horizontal="left" vertical="top" wrapText="1"/>
    </xf>
    <xf numFmtId="177" fontId="1" fillId="0" borderId="0" xfId="2" applyNumberFormat="1" applyFont="1" applyFill="1"/>
    <xf numFmtId="177" fontId="5" fillId="0" borderId="0" xfId="5" applyNumberFormat="1" applyFill="1"/>
    <xf numFmtId="177" fontId="31" fillId="0" borderId="0" xfId="4" applyNumberFormat="1" applyFont="1" applyFill="1"/>
    <xf numFmtId="0" fontId="9" fillId="0" borderId="0" xfId="5" applyFont="1" applyFill="1" applyBorder="1"/>
    <xf numFmtId="0" fontId="2" fillId="0" borderId="0" xfId="5" applyFont="1" applyFill="1" applyBorder="1" applyAlignment="1">
      <alignment horizontal="left" vertical="top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0" xfId="0" applyNumberFormat="1" applyFont="1" applyAlignment="1">
      <alignment horizontal="left" vertical="top"/>
    </xf>
    <xf numFmtId="0" fontId="56" fillId="38" borderId="18" xfId="9" applyFont="1" applyFill="1" applyBorder="1" applyAlignment="1">
      <alignment horizontal="left" vertical="top" wrapText="1"/>
    </xf>
    <xf numFmtId="0" fontId="96" fillId="0" borderId="0" xfId="0" applyFont="1" applyFill="1" applyAlignment="1">
      <alignment horizontal="right"/>
    </xf>
    <xf numFmtId="0" fontId="97" fillId="0" borderId="0" xfId="0" applyFont="1" applyFill="1" applyAlignment="1">
      <alignment horizontal="right"/>
    </xf>
    <xf numFmtId="0" fontId="96" fillId="0" borderId="0" xfId="2" applyFont="1" applyFill="1"/>
    <xf numFmtId="0" fontId="31" fillId="50" borderId="0" xfId="2" applyFont="1" applyFill="1"/>
    <xf numFmtId="2" fontId="31" fillId="6" borderId="0" xfId="2" applyNumberFormat="1" applyFont="1" applyFill="1"/>
    <xf numFmtId="0" fontId="97" fillId="6" borderId="0" xfId="0" applyFont="1" applyFill="1" applyAlignment="1">
      <alignment horizontal="right"/>
    </xf>
    <xf numFmtId="0" fontId="1" fillId="6" borderId="0" xfId="657" applyFont="1" applyFill="1" applyBorder="1" applyAlignment="1"/>
    <xf numFmtId="2" fontId="36" fillId="50" borderId="0" xfId="2" applyNumberFormat="1" applyFont="1" applyFill="1"/>
    <xf numFmtId="2" fontId="96" fillId="0" borderId="0" xfId="2" applyNumberFormat="1" applyFont="1" applyFill="1"/>
    <xf numFmtId="0" fontId="36" fillId="6" borderId="0" xfId="2" applyFont="1" applyFill="1"/>
    <xf numFmtId="2" fontId="98" fillId="0" borderId="0" xfId="2" applyNumberFormat="1" applyFont="1" applyFill="1"/>
    <xf numFmtId="1" fontId="36" fillId="6" borderId="0" xfId="2" applyNumberFormat="1" applyFont="1" applyFill="1"/>
    <xf numFmtId="14" fontId="0" fillId="6" borderId="0" xfId="0" applyNumberFormat="1" applyFont="1" applyFill="1" applyAlignment="1">
      <alignment horizontal="right"/>
    </xf>
    <xf numFmtId="0" fontId="0" fillId="6" borderId="0" xfId="0" applyFont="1" applyFill="1" applyAlignment="1">
      <alignment horizontal="right"/>
    </xf>
    <xf numFmtId="2" fontId="31" fillId="50" borderId="0" xfId="4" applyNumberFormat="1" applyFont="1" applyFill="1"/>
    <xf numFmtId="2" fontId="0" fillId="6" borderId="0" xfId="0" applyNumberFormat="1" applyFont="1" applyFill="1"/>
    <xf numFmtId="2" fontId="0" fillId="50" borderId="0" xfId="0" applyNumberFormat="1" applyFont="1" applyFill="1"/>
    <xf numFmtId="177" fontId="0" fillId="6" borderId="0" xfId="5" applyNumberFormat="1" applyFont="1" applyFill="1"/>
    <xf numFmtId="2" fontId="52" fillId="50" borderId="0" xfId="2" applyNumberFormat="1" applyFont="1" applyFill="1"/>
    <xf numFmtId="2" fontId="31" fillId="35" borderId="0" xfId="2" applyNumberFormat="1" applyFont="1" applyFill="1"/>
    <xf numFmtId="167" fontId="36" fillId="6" borderId="0" xfId="0" applyNumberFormat="1" applyFont="1" applyFill="1"/>
    <xf numFmtId="2" fontId="36" fillId="50" borderId="0" xfId="6" applyNumberFormat="1" applyFont="1" applyFill="1"/>
    <xf numFmtId="167" fontId="36" fillId="50" borderId="0" xfId="2" applyNumberFormat="1" applyFont="1" applyFill="1"/>
    <xf numFmtId="171" fontId="36" fillId="50" borderId="0" xfId="2" applyNumberFormat="1" applyFont="1" applyFill="1"/>
    <xf numFmtId="0" fontId="0" fillId="50" borderId="0" xfId="0" applyFont="1" applyFill="1"/>
    <xf numFmtId="0" fontId="31" fillId="0" borderId="0" xfId="0" applyFont="1"/>
    <xf numFmtId="2" fontId="31" fillId="6" borderId="0" xfId="6" applyNumberFormat="1" applyFont="1" applyFill="1"/>
    <xf numFmtId="2" fontId="31" fillId="0" borderId="0" xfId="6" applyNumberFormat="1" applyFont="1" applyFill="1"/>
    <xf numFmtId="0" fontId="31" fillId="0" borderId="0" xfId="0" applyFont="1" applyFill="1"/>
    <xf numFmtId="0" fontId="96" fillId="6" borderId="0" xfId="2" applyFont="1" applyFill="1"/>
    <xf numFmtId="2" fontId="96" fillId="0" borderId="0" xfId="6" applyNumberFormat="1" applyFont="1" applyFill="1"/>
    <xf numFmtId="167" fontId="96" fillId="0" borderId="0" xfId="2" applyNumberFormat="1" applyFont="1" applyFill="1"/>
    <xf numFmtId="167" fontId="96" fillId="0" borderId="0" xfId="0" applyNumberFormat="1" applyFont="1" applyFill="1"/>
    <xf numFmtId="0" fontId="96" fillId="0" borderId="0" xfId="0" applyFont="1" applyFill="1"/>
    <xf numFmtId="14" fontId="96" fillId="0" borderId="0" xfId="0" applyNumberFormat="1" applyFont="1" applyFill="1"/>
    <xf numFmtId="167" fontId="96" fillId="35" borderId="31" xfId="0" applyNumberFormat="1" applyFont="1" applyFill="1" applyBorder="1" applyAlignment="1">
      <alignment horizontal="center"/>
    </xf>
    <xf numFmtId="9" fontId="96" fillId="0" borderId="0" xfId="437" applyFont="1" applyFill="1"/>
    <xf numFmtId="0" fontId="36" fillId="6" borderId="0" xfId="6" applyFont="1" applyFill="1"/>
    <xf numFmtId="177" fontId="0" fillId="6" borderId="0" xfId="0" applyNumberFormat="1" applyFill="1"/>
    <xf numFmtId="177" fontId="31" fillId="6" borderId="0" xfId="4" applyNumberFormat="1" applyFont="1" applyFill="1"/>
    <xf numFmtId="171" fontId="31" fillId="35" borderId="0" xfId="2" applyNumberFormat="1" applyFont="1" applyFill="1"/>
    <xf numFmtId="14" fontId="31" fillId="6" borderId="0" xfId="0" applyNumberFormat="1" applyFont="1" applyFill="1" applyAlignment="1">
      <alignment horizontal="right"/>
    </xf>
    <xf numFmtId="0" fontId="31" fillId="6" borderId="0" xfId="0" applyFont="1" applyFill="1" applyAlignment="1">
      <alignment horizontal="right"/>
    </xf>
    <xf numFmtId="173" fontId="36" fillId="50" borderId="0" xfId="2" applyNumberFormat="1" applyFont="1" applyFill="1"/>
    <xf numFmtId="177" fontId="0" fillId="6" borderId="0" xfId="0" applyNumberFormat="1" applyFont="1" applyFill="1"/>
    <xf numFmtId="0" fontId="0" fillId="6" borderId="0" xfId="0" applyFont="1" applyFill="1" applyAlignment="1">
      <alignment horizontal="left"/>
    </xf>
    <xf numFmtId="14" fontId="0" fillId="6" borderId="0" xfId="0" applyNumberFormat="1" applyFont="1" applyFill="1" applyAlignment="1">
      <alignment horizontal="left"/>
    </xf>
    <xf numFmtId="0" fontId="37" fillId="50" borderId="0" xfId="2" applyFont="1" applyFill="1"/>
    <xf numFmtId="177" fontId="31" fillId="50" borderId="0" xfId="2" applyNumberFormat="1" applyFont="1" applyFill="1"/>
    <xf numFmtId="0" fontId="99" fillId="0" borderId="0" xfId="2" applyFont="1" applyFill="1"/>
    <xf numFmtId="2" fontId="55" fillId="6" borderId="0" xfId="9" applyNumberFormat="1" applyFont="1" applyFill="1" applyBorder="1" applyAlignment="1" applyProtection="1">
      <alignment horizontal="right"/>
    </xf>
    <xf numFmtId="0" fontId="37" fillId="6" borderId="0" xfId="9" applyFont="1" applyFill="1" applyAlignment="1" applyProtection="1">
      <alignment horizontal="left"/>
    </xf>
    <xf numFmtId="0" fontId="37" fillId="6" borderId="0" xfId="9" applyFont="1" applyFill="1"/>
    <xf numFmtId="167" fontId="55" fillId="6" borderId="0" xfId="9" applyNumberFormat="1" applyFont="1" applyFill="1" applyBorder="1" applyAlignment="1">
      <alignment horizontal="center"/>
    </xf>
    <xf numFmtId="167" fontId="55" fillId="6" borderId="22" xfId="9" applyNumberFormat="1" applyFont="1" applyFill="1" applyBorder="1" applyAlignment="1">
      <alignment horizontal="center"/>
    </xf>
    <xf numFmtId="0" fontId="37" fillId="6" borderId="0" xfId="9" applyFont="1" applyFill="1" applyAlignment="1" applyProtection="1">
      <alignment horizontal="center"/>
    </xf>
    <xf numFmtId="167" fontId="55" fillId="6" borderId="21" xfId="9" applyNumberFormat="1" applyFont="1" applyFill="1" applyBorder="1" applyAlignment="1">
      <alignment horizontal="center"/>
    </xf>
    <xf numFmtId="167" fontId="55" fillId="6" borderId="19" xfId="9" applyNumberFormat="1" applyFont="1" applyFill="1" applyBorder="1" applyAlignment="1">
      <alignment horizontal="center"/>
    </xf>
    <xf numFmtId="1" fontId="37" fillId="37" borderId="0" xfId="9" applyNumberFormat="1" applyFont="1" applyFill="1" applyBorder="1" applyAlignment="1" applyProtection="1">
      <alignment horizontal="left"/>
    </xf>
    <xf numFmtId="2" fontId="55" fillId="0" borderId="0" xfId="9" applyNumberFormat="1" applyFont="1" applyFill="1" applyBorder="1" applyAlignment="1">
      <alignment horizontal="center"/>
    </xf>
    <xf numFmtId="0" fontId="37" fillId="0" borderId="0" xfId="9" applyFont="1" applyBorder="1" applyAlignment="1">
      <alignment horizontal="left"/>
    </xf>
    <xf numFmtId="171" fontId="55" fillId="0" borderId="0" xfId="9" applyNumberFormat="1" applyFont="1" applyFill="1" applyBorder="1" applyAlignment="1">
      <alignment horizontal="center"/>
    </xf>
    <xf numFmtId="10" fontId="55" fillId="0" borderId="0" xfId="438" applyNumberFormat="1" applyFont="1" applyFill="1" applyBorder="1" applyAlignment="1">
      <alignment horizontal="center"/>
    </xf>
    <xf numFmtId="0" fontId="56" fillId="6" borderId="36" xfId="9" applyFont="1" applyFill="1" applyBorder="1" applyAlignment="1">
      <alignment horizontal="left" vertical="top" wrapText="1"/>
    </xf>
    <xf numFmtId="1" fontId="37" fillId="6" borderId="0" xfId="9" applyNumberFormat="1" applyFont="1" applyFill="1" applyBorder="1" applyAlignment="1" applyProtection="1">
      <alignment horizontal="left"/>
    </xf>
    <xf numFmtId="0" fontId="37" fillId="6" borderId="0" xfId="9" applyFont="1" applyFill="1" applyBorder="1" applyAlignment="1">
      <alignment horizontal="right"/>
    </xf>
    <xf numFmtId="2" fontId="55" fillId="6" borderId="0" xfId="9" applyNumberFormat="1" applyFont="1" applyFill="1" applyBorder="1" applyAlignment="1">
      <alignment horizontal="center"/>
    </xf>
    <xf numFmtId="0" fontId="37" fillId="6" borderId="0" xfId="9" applyFont="1" applyFill="1" applyBorder="1" applyAlignment="1">
      <alignment horizontal="left"/>
    </xf>
    <xf numFmtId="171" fontId="55" fillId="6" borderId="0" xfId="9" applyNumberFormat="1" applyFont="1" applyFill="1" applyBorder="1" applyAlignment="1">
      <alignment horizontal="center"/>
    </xf>
    <xf numFmtId="10" fontId="55" fillId="6" borderId="0" xfId="438" applyNumberFormat="1" applyFont="1" applyFill="1" applyBorder="1" applyAlignment="1">
      <alignment horizontal="center"/>
    </xf>
    <xf numFmtId="167" fontId="55" fillId="50" borderId="0" xfId="9" applyNumberFormat="1" applyFont="1" applyFill="1" applyBorder="1" applyAlignment="1">
      <alignment horizontal="center"/>
    </xf>
    <xf numFmtId="167" fontId="55" fillId="50" borderId="21" xfId="9" applyNumberFormat="1" applyFont="1" applyFill="1" applyBorder="1" applyAlignment="1">
      <alignment horizontal="center"/>
    </xf>
    <xf numFmtId="167" fontId="55" fillId="50" borderId="19" xfId="9" applyNumberFormat="1" applyFont="1" applyFill="1" applyBorder="1" applyAlignment="1">
      <alignment horizontal="center"/>
    </xf>
    <xf numFmtId="167" fontId="55" fillId="50" borderId="22" xfId="9" applyNumberFormat="1" applyFont="1" applyFill="1" applyBorder="1" applyAlignment="1">
      <alignment horizontal="center"/>
    </xf>
    <xf numFmtId="167" fontId="11" fillId="6" borderId="0" xfId="17" applyNumberFormat="1" applyFont="1" applyFill="1"/>
    <xf numFmtId="0" fontId="31" fillId="6" borderId="5" xfId="2" applyFont="1" applyFill="1" applyBorder="1"/>
    <xf numFmtId="182" fontId="36" fillId="6" borderId="0" xfId="2" applyNumberFormat="1" applyFont="1" applyFill="1"/>
    <xf numFmtId="171" fontId="31" fillId="6" borderId="0" xfId="2" applyNumberFormat="1" applyFont="1" applyFill="1"/>
    <xf numFmtId="2" fontId="11" fillId="36" borderId="0" xfId="0" applyNumberFormat="1" applyFont="1" applyFill="1" applyBorder="1" applyAlignment="1" applyProtection="1"/>
    <xf numFmtId="178" fontId="11" fillId="36" borderId="0" xfId="0" applyNumberFormat="1" applyFont="1" applyFill="1" applyBorder="1" applyAlignment="1" applyProtection="1"/>
    <xf numFmtId="2" fontId="11" fillId="0" borderId="0" xfId="0" applyNumberFormat="1" applyFont="1" applyFill="1" applyBorder="1" applyAlignment="1" applyProtection="1"/>
    <xf numFmtId="178" fontId="11" fillId="0" borderId="0" xfId="0" applyNumberFormat="1" applyFont="1" applyFill="1" applyBorder="1" applyAlignment="1" applyProtection="1"/>
    <xf numFmtId="177" fontId="31" fillId="0" borderId="0" xfId="4212" applyNumberFormat="1" applyFont="1" applyFill="1"/>
    <xf numFmtId="0" fontId="31" fillId="36" borderId="0" xfId="4212" applyFont="1" applyFill="1"/>
    <xf numFmtId="178" fontId="0" fillId="0" borderId="0" xfId="4493" applyNumberFormat="1" applyFont="1" applyFill="1"/>
    <xf numFmtId="0" fontId="36" fillId="36" borderId="0" xfId="4212" applyFont="1" applyFill="1"/>
    <xf numFmtId="167" fontId="36" fillId="0" borderId="0" xfId="4212" applyNumberFormat="1" applyFont="1" applyFill="1"/>
    <xf numFmtId="0" fontId="31" fillId="0" borderId="0" xfId="4212" applyFont="1" applyFill="1"/>
    <xf numFmtId="2" fontId="31" fillId="6" borderId="0" xfId="4" applyNumberFormat="1" applyFont="1" applyFill="1"/>
    <xf numFmtId="2" fontId="36" fillId="0" borderId="0" xfId="4212" applyNumberFormat="1" applyFont="1" applyFill="1"/>
    <xf numFmtId="2" fontId="31" fillId="0" borderId="0" xfId="4212" applyNumberFormat="1" applyFont="1" applyFill="1"/>
    <xf numFmtId="167" fontId="36" fillId="41" borderId="0" xfId="4212" applyNumberFormat="1" applyFont="1" applyFill="1"/>
    <xf numFmtId="2" fontId="36" fillId="36" borderId="0" xfId="4212" applyNumberFormat="1" applyFont="1" applyFill="1"/>
    <xf numFmtId="0" fontId="1" fillId="6" borderId="0" xfId="4490" applyFont="1" applyFill="1" applyBorder="1" applyAlignment="1"/>
    <xf numFmtId="0" fontId="31" fillId="36" borderId="5" xfId="4212" applyFont="1" applyFill="1" applyBorder="1"/>
    <xf numFmtId="178" fontId="0" fillId="36" borderId="0" xfId="4493" applyNumberFormat="1" applyFont="1" applyFill="1"/>
    <xf numFmtId="2" fontId="0" fillId="36" borderId="0" xfId="0" applyNumberFormat="1" applyFont="1" applyFill="1"/>
    <xf numFmtId="167" fontId="36" fillId="36" borderId="0" xfId="4212" applyNumberFormat="1" applyFont="1" applyFill="1"/>
    <xf numFmtId="0" fontId="36" fillId="0" borderId="0" xfId="4212" applyFont="1" applyFill="1"/>
    <xf numFmtId="0" fontId="1" fillId="0" borderId="0" xfId="4490" applyFont="1" applyFill="1" applyBorder="1" applyAlignment="1"/>
    <xf numFmtId="178" fontId="0" fillId="0" borderId="0" xfId="4494" applyNumberFormat="1" applyFont="1" applyFill="1"/>
    <xf numFmtId="178" fontId="0" fillId="36" borderId="0" xfId="4494" applyNumberFormat="1" applyFont="1" applyFill="1"/>
    <xf numFmtId="0" fontId="31" fillId="4" borderId="0" xfId="0" applyFont="1" applyFill="1" applyAlignment="1">
      <alignment vertical="top" wrapText="1"/>
    </xf>
    <xf numFmtId="0" fontId="46" fillId="0" borderId="29" xfId="0" applyFont="1" applyBorder="1" applyAlignment="1">
      <alignment vertical="center" wrapText="1"/>
    </xf>
    <xf numFmtId="0" fontId="46" fillId="0" borderId="27" xfId="0" applyFont="1" applyBorder="1" applyAlignment="1">
      <alignment vertical="center" wrapText="1"/>
    </xf>
    <xf numFmtId="0" fontId="46" fillId="6" borderId="29" xfId="0" applyFont="1" applyFill="1" applyBorder="1" applyAlignment="1">
      <alignment vertical="center" wrapText="1"/>
    </xf>
    <xf numFmtId="0" fontId="46" fillId="6" borderId="27" xfId="0" applyFont="1" applyFill="1" applyBorder="1" applyAlignment="1">
      <alignment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49" fillId="0" borderId="24" xfId="0" applyFont="1" applyBorder="1" applyAlignment="1">
      <alignment horizontal="center" vertical="center" wrapText="1"/>
    </xf>
    <xf numFmtId="0" fontId="49" fillId="0" borderId="25" xfId="0" applyFont="1" applyBorder="1" applyAlignment="1">
      <alignment horizontal="center" vertical="center" wrapText="1"/>
    </xf>
    <xf numFmtId="0" fontId="49" fillId="0" borderId="26" xfId="0" applyFont="1" applyBorder="1" applyAlignment="1">
      <alignment horizontal="center" vertical="center" wrapText="1"/>
    </xf>
    <xf numFmtId="0" fontId="47" fillId="0" borderId="0" xfId="0" applyFont="1" applyAlignment="1">
      <alignment horizontal="left" vertical="top" wrapText="1"/>
    </xf>
    <xf numFmtId="0" fontId="56" fillId="38" borderId="2" xfId="9" applyFont="1" applyFill="1" applyBorder="1" applyAlignment="1">
      <alignment horizontal="center" wrapText="1"/>
    </xf>
    <xf numFmtId="0" fontId="56" fillId="38" borderId="37" xfId="9" applyFont="1" applyFill="1" applyBorder="1" applyAlignment="1">
      <alignment horizontal="center" wrapText="1"/>
    </xf>
    <xf numFmtId="0" fontId="56" fillId="38" borderId="1" xfId="9" applyFont="1" applyFill="1" applyBorder="1" applyAlignment="1">
      <alignment horizontal="center" wrapText="1"/>
    </xf>
    <xf numFmtId="0" fontId="56" fillId="38" borderId="7" xfId="9" applyFont="1" applyFill="1" applyBorder="1" applyAlignment="1">
      <alignment horizontal="center" wrapText="1"/>
    </xf>
    <xf numFmtId="0" fontId="56" fillId="38" borderId="32" xfId="9" applyFont="1" applyFill="1" applyBorder="1" applyAlignment="1">
      <alignment horizontal="center" vertical="top" wrapText="1"/>
    </xf>
    <xf numFmtId="0" fontId="56" fillId="38" borderId="38" xfId="9" applyFont="1" applyFill="1" applyBorder="1" applyAlignment="1">
      <alignment horizontal="center" vertical="top" wrapText="1"/>
    </xf>
    <xf numFmtId="0" fontId="56" fillId="38" borderId="1" xfId="9" applyFont="1" applyFill="1" applyBorder="1" applyAlignment="1">
      <alignment horizontal="center" vertical="top" wrapText="1"/>
    </xf>
    <xf numFmtId="0" fontId="56" fillId="38" borderId="7" xfId="9" applyFont="1" applyFill="1" applyBorder="1" applyAlignment="1">
      <alignment horizontal="center" vertical="top" wrapText="1"/>
    </xf>
  </cellXfs>
  <cellStyles count="4495">
    <cellStyle name="_x000a_shell=progma 2" xfId="658" xr:uid="{00000000-0005-0000-0000-000000000000}"/>
    <cellStyle name="_x000a_shell=progma 2 2" xfId="2080" xr:uid="{00000000-0005-0000-0000-000001000000}"/>
    <cellStyle name="1.000" xfId="659" xr:uid="{00000000-0005-0000-0000-000002000000}"/>
    <cellStyle name="1.000 2" xfId="2081" xr:uid="{00000000-0005-0000-0000-000003000000}"/>
    <cellStyle name="20 % - Markeringsfarve1" xfId="3271" xr:uid="{00000000-0005-0000-0000-000004000000}"/>
    <cellStyle name="20 % - Markeringsfarve1 2" xfId="3272" xr:uid="{00000000-0005-0000-0000-000005000000}"/>
    <cellStyle name="20 % - Markeringsfarve2" xfId="3273" xr:uid="{00000000-0005-0000-0000-000006000000}"/>
    <cellStyle name="20 % - Markeringsfarve2 2" xfId="3274" xr:uid="{00000000-0005-0000-0000-000007000000}"/>
    <cellStyle name="20 % - Markeringsfarve3" xfId="3275" xr:uid="{00000000-0005-0000-0000-000008000000}"/>
    <cellStyle name="20 % - Markeringsfarve3 2" xfId="3276" xr:uid="{00000000-0005-0000-0000-000009000000}"/>
    <cellStyle name="20 % - Markeringsfarve4" xfId="3277" xr:uid="{00000000-0005-0000-0000-00000A000000}"/>
    <cellStyle name="20 % - Markeringsfarve4 2" xfId="3278" xr:uid="{00000000-0005-0000-0000-00000B000000}"/>
    <cellStyle name="20 % - Markeringsfarve5" xfId="3279" xr:uid="{00000000-0005-0000-0000-00000C000000}"/>
    <cellStyle name="20 % - Markeringsfarve5 2" xfId="3280" xr:uid="{00000000-0005-0000-0000-00000D000000}"/>
    <cellStyle name="20 % - Markeringsfarve6" xfId="3281" xr:uid="{00000000-0005-0000-0000-00000E000000}"/>
    <cellStyle name="20 % - Markeringsfarve6 2" xfId="3282" xr:uid="{00000000-0005-0000-0000-00000F000000}"/>
    <cellStyle name="20% - Colore 1" xfId="19" xr:uid="{00000000-0005-0000-0000-000010000000}"/>
    <cellStyle name="20% - Colore 1 2" xfId="3283" xr:uid="{00000000-0005-0000-0000-000011000000}"/>
    <cellStyle name="20% - Colore 2" xfId="18" xr:uid="{00000000-0005-0000-0000-000012000000}"/>
    <cellStyle name="20% - Colore 2 2" xfId="3284" xr:uid="{00000000-0005-0000-0000-000013000000}"/>
    <cellStyle name="20% - Colore 3" xfId="17" xr:uid="{00000000-0005-0000-0000-000014000000}"/>
    <cellStyle name="20% - Colore 3 2" xfId="3285" xr:uid="{00000000-0005-0000-0000-000015000000}"/>
    <cellStyle name="20% - Colore 4" xfId="13" xr:uid="{00000000-0005-0000-0000-000016000000}"/>
    <cellStyle name="20% - Colore 4 2" xfId="3286" xr:uid="{00000000-0005-0000-0000-000017000000}"/>
    <cellStyle name="20% - Colore 5" xfId="16" xr:uid="{00000000-0005-0000-0000-000018000000}"/>
    <cellStyle name="20% - Colore 5 2" xfId="3287" xr:uid="{00000000-0005-0000-0000-000019000000}"/>
    <cellStyle name="20% - Colore 6" xfId="15" xr:uid="{00000000-0005-0000-0000-00001A000000}"/>
    <cellStyle name="20% - Colore 6 2" xfId="3288" xr:uid="{00000000-0005-0000-0000-00001B000000}"/>
    <cellStyle name="40 % - Markeringsfarve1" xfId="3289" xr:uid="{00000000-0005-0000-0000-00001C000000}"/>
    <cellStyle name="40 % - Markeringsfarve1 2" xfId="3290" xr:uid="{00000000-0005-0000-0000-00001D000000}"/>
    <cellStyle name="40 % - Markeringsfarve2" xfId="3291" xr:uid="{00000000-0005-0000-0000-00001E000000}"/>
    <cellStyle name="40 % - Markeringsfarve2 2" xfId="3292" xr:uid="{00000000-0005-0000-0000-00001F000000}"/>
    <cellStyle name="40 % - Markeringsfarve3" xfId="3293" xr:uid="{00000000-0005-0000-0000-000020000000}"/>
    <cellStyle name="40 % - Markeringsfarve3 2" xfId="3294" xr:uid="{00000000-0005-0000-0000-000021000000}"/>
    <cellStyle name="40 % - Markeringsfarve4" xfId="3295" xr:uid="{00000000-0005-0000-0000-000022000000}"/>
    <cellStyle name="40 % - Markeringsfarve4 2" xfId="3296" xr:uid="{00000000-0005-0000-0000-000023000000}"/>
    <cellStyle name="40 % - Markeringsfarve5" xfId="3297" xr:uid="{00000000-0005-0000-0000-000024000000}"/>
    <cellStyle name="40 % - Markeringsfarve5 2" xfId="3298" xr:uid="{00000000-0005-0000-0000-000025000000}"/>
    <cellStyle name="40 % - Markeringsfarve6" xfId="3299" xr:uid="{00000000-0005-0000-0000-000026000000}"/>
    <cellStyle name="40 % - Markeringsfarve6 2" xfId="3300" xr:uid="{00000000-0005-0000-0000-000027000000}"/>
    <cellStyle name="40% - Colore 1" xfId="14" xr:uid="{00000000-0005-0000-0000-000028000000}"/>
    <cellStyle name="40% - Colore 1 2" xfId="3301" xr:uid="{00000000-0005-0000-0000-000029000000}"/>
    <cellStyle name="40% - Colore 2" xfId="21" xr:uid="{00000000-0005-0000-0000-00002A000000}"/>
    <cellStyle name="40% - Colore 2 2" xfId="3302" xr:uid="{00000000-0005-0000-0000-00002B000000}"/>
    <cellStyle name="40% - Colore 3" xfId="22" xr:uid="{00000000-0005-0000-0000-00002C000000}"/>
    <cellStyle name="40% - Colore 3 2" xfId="3303" xr:uid="{00000000-0005-0000-0000-00002D000000}"/>
    <cellStyle name="40% - Colore 4" xfId="23" xr:uid="{00000000-0005-0000-0000-00002E000000}"/>
    <cellStyle name="40% - Colore 4 2" xfId="3304" xr:uid="{00000000-0005-0000-0000-00002F000000}"/>
    <cellStyle name="40% - Colore 5" xfId="24" xr:uid="{00000000-0005-0000-0000-000030000000}"/>
    <cellStyle name="40% - Colore 5 2" xfId="3305" xr:uid="{00000000-0005-0000-0000-000031000000}"/>
    <cellStyle name="40% - Colore 6" xfId="25" xr:uid="{00000000-0005-0000-0000-000032000000}"/>
    <cellStyle name="40% - Colore 6 2" xfId="3306" xr:uid="{00000000-0005-0000-0000-000033000000}"/>
    <cellStyle name="5x indented GHG Textfiels" xfId="660" xr:uid="{00000000-0005-0000-0000-000034000000}"/>
    <cellStyle name="5x indented GHG Textfiels 2" xfId="2082" xr:uid="{00000000-0005-0000-0000-000035000000}"/>
    <cellStyle name="60 % - Markeringsfarve1" xfId="3307" xr:uid="{00000000-0005-0000-0000-000036000000}"/>
    <cellStyle name="60 % - Markeringsfarve2" xfId="3308" xr:uid="{00000000-0005-0000-0000-000037000000}"/>
    <cellStyle name="60 % - Markeringsfarve3" xfId="3309" xr:uid="{00000000-0005-0000-0000-000038000000}"/>
    <cellStyle name="60 % - Markeringsfarve4" xfId="3310" xr:uid="{00000000-0005-0000-0000-000039000000}"/>
    <cellStyle name="60 % - Markeringsfarve5" xfId="3311" xr:uid="{00000000-0005-0000-0000-00003A000000}"/>
    <cellStyle name="60 % - Markeringsfarve6" xfId="3312" xr:uid="{00000000-0005-0000-0000-00003B000000}"/>
    <cellStyle name="60% - Colore 1" xfId="26" xr:uid="{00000000-0005-0000-0000-00003C000000}"/>
    <cellStyle name="60% - Colore 2" xfId="27" xr:uid="{00000000-0005-0000-0000-00003D000000}"/>
    <cellStyle name="60% - Colore 3" xfId="28" xr:uid="{00000000-0005-0000-0000-00003E000000}"/>
    <cellStyle name="60% - Colore 4" xfId="29" xr:uid="{00000000-0005-0000-0000-00003F000000}"/>
    <cellStyle name="60% - Colore 5" xfId="30" xr:uid="{00000000-0005-0000-0000-000040000000}"/>
    <cellStyle name="60% - Colore 6" xfId="31" xr:uid="{00000000-0005-0000-0000-000041000000}"/>
    <cellStyle name="AggOrange_CRFReport-template" xfId="661" xr:uid="{00000000-0005-0000-0000-000042000000}"/>
    <cellStyle name="AggOrange9_CRFReport-template" xfId="662" xr:uid="{00000000-0005-0000-0000-000043000000}"/>
    <cellStyle name="Bad" xfId="4" builtinId="27"/>
    <cellStyle name="Bad 2" xfId="6" xr:uid="{00000000-0005-0000-0000-000045000000}"/>
    <cellStyle name="Bad 3" xfId="2015" xr:uid="{00000000-0005-0000-0000-000046000000}"/>
    <cellStyle name="Bad 4" xfId="3313" xr:uid="{00000000-0005-0000-0000-000047000000}"/>
    <cellStyle name="Bruger data" xfId="663" xr:uid="{00000000-0005-0000-0000-000048000000}"/>
    <cellStyle name="Calcolo" xfId="32" xr:uid="{00000000-0005-0000-0000-000049000000}"/>
    <cellStyle name="Calcolo 2" xfId="3314" xr:uid="{00000000-0005-0000-0000-00004A000000}"/>
    <cellStyle name="Calcolo 2 2" xfId="3315" xr:uid="{00000000-0005-0000-0000-00004B000000}"/>
    <cellStyle name="Calcolo 3" xfId="3316" xr:uid="{00000000-0005-0000-0000-00004C000000}"/>
    <cellStyle name="Calculation 2" xfId="2016" xr:uid="{00000000-0005-0000-0000-00004D000000}"/>
    <cellStyle name="Calculations" xfId="664" xr:uid="{00000000-0005-0000-0000-00004E000000}"/>
    <cellStyle name="Cella collegata" xfId="33" xr:uid="{00000000-0005-0000-0000-00004F000000}"/>
    <cellStyle name="Cella da controllare" xfId="34" xr:uid="{00000000-0005-0000-0000-000050000000}"/>
    <cellStyle name="Colore 1" xfId="35" xr:uid="{00000000-0005-0000-0000-000051000000}"/>
    <cellStyle name="Colore 2" xfId="36" xr:uid="{00000000-0005-0000-0000-000052000000}"/>
    <cellStyle name="Colore 3" xfId="37" xr:uid="{00000000-0005-0000-0000-000053000000}"/>
    <cellStyle name="Colore 4" xfId="38" xr:uid="{00000000-0005-0000-0000-000054000000}"/>
    <cellStyle name="Colore 5" xfId="39" xr:uid="{00000000-0005-0000-0000-000055000000}"/>
    <cellStyle name="Colore 6" xfId="40" xr:uid="{00000000-0005-0000-0000-000056000000}"/>
    <cellStyle name="Comma 2" xfId="439" xr:uid="{00000000-0005-0000-0000-000057000000}"/>
    <cellStyle name="Comma 2 2" xfId="666" xr:uid="{00000000-0005-0000-0000-000058000000}"/>
    <cellStyle name="Comma 2 2 2" xfId="667" xr:uid="{00000000-0005-0000-0000-000059000000}"/>
    <cellStyle name="Comma 2 2 2 2" xfId="2083" xr:uid="{00000000-0005-0000-0000-00005A000000}"/>
    <cellStyle name="Comma 2 2 3" xfId="3317" xr:uid="{00000000-0005-0000-0000-00005B000000}"/>
    <cellStyle name="Comma 2 3" xfId="668" xr:uid="{00000000-0005-0000-0000-00005C000000}"/>
    <cellStyle name="Comma 2 3 2" xfId="669" xr:uid="{00000000-0005-0000-0000-00005D000000}"/>
    <cellStyle name="Comma 2 3 2 2" xfId="3318" xr:uid="{00000000-0005-0000-0000-00005E000000}"/>
    <cellStyle name="Comma 2 3 2 3" xfId="3319" xr:uid="{00000000-0005-0000-0000-00005F000000}"/>
    <cellStyle name="Comma 2 3 3" xfId="670" xr:uid="{00000000-0005-0000-0000-000060000000}"/>
    <cellStyle name="Comma 2 3 3 2" xfId="2085" xr:uid="{00000000-0005-0000-0000-000061000000}"/>
    <cellStyle name="Comma 2 3 4" xfId="2084" xr:uid="{00000000-0005-0000-0000-000062000000}"/>
    <cellStyle name="Comma 2 3 5" xfId="3320" xr:uid="{00000000-0005-0000-0000-000063000000}"/>
    <cellStyle name="Comma 2 4" xfId="671" xr:uid="{00000000-0005-0000-0000-000064000000}"/>
    <cellStyle name="Comma 2 4 2" xfId="3321" xr:uid="{00000000-0005-0000-0000-000065000000}"/>
    <cellStyle name="Comma 2 5" xfId="672" xr:uid="{00000000-0005-0000-0000-000066000000}"/>
    <cellStyle name="Comma 2 6" xfId="673" xr:uid="{00000000-0005-0000-0000-000067000000}"/>
    <cellStyle name="Comma 2 6 2" xfId="674" xr:uid="{00000000-0005-0000-0000-000068000000}"/>
    <cellStyle name="Comma 2 7" xfId="665" xr:uid="{00000000-0005-0000-0000-000069000000}"/>
    <cellStyle name="Comma 2 8" xfId="3322" xr:uid="{00000000-0005-0000-0000-00006A000000}"/>
    <cellStyle name="Comma 3" xfId="440" xr:uid="{00000000-0005-0000-0000-00006B000000}"/>
    <cellStyle name="Comma 3 2" xfId="676" xr:uid="{00000000-0005-0000-0000-00006C000000}"/>
    <cellStyle name="Comma 3 2 2" xfId="677" xr:uid="{00000000-0005-0000-0000-00006D000000}"/>
    <cellStyle name="Comma 3 3" xfId="678" xr:uid="{00000000-0005-0000-0000-00006E000000}"/>
    <cellStyle name="Comma 3 3 2" xfId="2087" xr:uid="{00000000-0005-0000-0000-00006F000000}"/>
    <cellStyle name="Comma 3 4" xfId="2086" xr:uid="{00000000-0005-0000-0000-000070000000}"/>
    <cellStyle name="Comma 3 5" xfId="675" xr:uid="{00000000-0005-0000-0000-000071000000}"/>
    <cellStyle name="Comma 3 6" xfId="3323" xr:uid="{00000000-0005-0000-0000-000072000000}"/>
    <cellStyle name="Comma 3 7" xfId="4493" xr:uid="{00000000-0005-0000-0000-000073000000}"/>
    <cellStyle name="Comma 3 8" xfId="4494" xr:uid="{00000000-0005-0000-0000-000074000000}"/>
    <cellStyle name="Comma 4" xfId="679" xr:uid="{00000000-0005-0000-0000-000075000000}"/>
    <cellStyle name="Comma 4 2" xfId="680" xr:uid="{00000000-0005-0000-0000-000076000000}"/>
    <cellStyle name="Comma 4 2 2" xfId="681" xr:uid="{00000000-0005-0000-0000-000077000000}"/>
    <cellStyle name="Comma 4 2 3" xfId="3324" xr:uid="{00000000-0005-0000-0000-000078000000}"/>
    <cellStyle name="Comma 4 3" xfId="682" xr:uid="{00000000-0005-0000-0000-000079000000}"/>
    <cellStyle name="Comma 4 3 2" xfId="2089" xr:uid="{00000000-0005-0000-0000-00007A000000}"/>
    <cellStyle name="Comma 4 4" xfId="683" xr:uid="{00000000-0005-0000-0000-00007B000000}"/>
    <cellStyle name="Comma 4 4 2" xfId="2090" xr:uid="{00000000-0005-0000-0000-00007C000000}"/>
    <cellStyle name="Comma 4 5" xfId="2088" xr:uid="{00000000-0005-0000-0000-00007D000000}"/>
    <cellStyle name="Comma 4 6" xfId="3325" xr:uid="{00000000-0005-0000-0000-00007E000000}"/>
    <cellStyle name="Comma 5" xfId="684" xr:uid="{00000000-0005-0000-0000-00007F000000}"/>
    <cellStyle name="Comma 5 2" xfId="2091" xr:uid="{00000000-0005-0000-0000-000080000000}"/>
    <cellStyle name="Comma 5 3" xfId="3326" xr:uid="{00000000-0005-0000-0000-000081000000}"/>
    <cellStyle name="Comma 6" xfId="685" xr:uid="{00000000-0005-0000-0000-000082000000}"/>
    <cellStyle name="Comma 6 2" xfId="2092" xr:uid="{00000000-0005-0000-0000-000083000000}"/>
    <cellStyle name="Comma 6 3" xfId="3327" xr:uid="{00000000-0005-0000-0000-000084000000}"/>
    <cellStyle name="Comma 7" xfId="2013" xr:uid="{00000000-0005-0000-0000-000085000000}"/>
    <cellStyle name="Comma 7 2" xfId="3269" xr:uid="{00000000-0005-0000-0000-000086000000}"/>
    <cellStyle name="Comma0 - Type3" xfId="7" xr:uid="{00000000-0005-0000-0000-000087000000}"/>
    <cellStyle name="CustomizationCells" xfId="686" xr:uid="{00000000-0005-0000-0000-000088000000}"/>
    <cellStyle name="CustomizationCells 2" xfId="3328" xr:uid="{00000000-0005-0000-0000-000089000000}"/>
    <cellStyle name="Euro" xfId="41" xr:uid="{00000000-0005-0000-0000-00008A000000}"/>
    <cellStyle name="Euro 10" xfId="42" xr:uid="{00000000-0005-0000-0000-00008B000000}"/>
    <cellStyle name="Euro 10 2" xfId="447" xr:uid="{00000000-0005-0000-0000-00008C000000}"/>
    <cellStyle name="Euro 10 2 2" xfId="2093" xr:uid="{00000000-0005-0000-0000-00008D000000}"/>
    <cellStyle name="Euro 10 3" xfId="687" xr:uid="{00000000-0005-0000-0000-00008E000000}"/>
    <cellStyle name="Euro 10 3 2" xfId="688" xr:uid="{00000000-0005-0000-0000-00008F000000}"/>
    <cellStyle name="Euro 10 3 2 2" xfId="3329" xr:uid="{00000000-0005-0000-0000-000090000000}"/>
    <cellStyle name="Euro 10 3 3" xfId="689" xr:uid="{00000000-0005-0000-0000-000091000000}"/>
    <cellStyle name="Euro 10 3 3 2" xfId="2095" xr:uid="{00000000-0005-0000-0000-000092000000}"/>
    <cellStyle name="Euro 10 3 4" xfId="2094" xr:uid="{00000000-0005-0000-0000-000093000000}"/>
    <cellStyle name="Euro 10 4" xfId="690" xr:uid="{00000000-0005-0000-0000-000094000000}"/>
    <cellStyle name="Euro 10 4 2" xfId="691" xr:uid="{00000000-0005-0000-0000-000095000000}"/>
    <cellStyle name="Euro 10 4 2 2" xfId="2097" xr:uid="{00000000-0005-0000-0000-000096000000}"/>
    <cellStyle name="Euro 10 4 3" xfId="2096" xr:uid="{00000000-0005-0000-0000-000097000000}"/>
    <cellStyle name="Euro 10 5" xfId="692" xr:uid="{00000000-0005-0000-0000-000098000000}"/>
    <cellStyle name="Euro 11" xfId="43" xr:uid="{00000000-0005-0000-0000-000099000000}"/>
    <cellStyle name="Euro 11 2" xfId="448" xr:uid="{00000000-0005-0000-0000-00009A000000}"/>
    <cellStyle name="Euro 11 2 2" xfId="2098" xr:uid="{00000000-0005-0000-0000-00009B000000}"/>
    <cellStyle name="Euro 11 3" xfId="693" xr:uid="{00000000-0005-0000-0000-00009C000000}"/>
    <cellStyle name="Euro 11 3 2" xfId="694" xr:uid="{00000000-0005-0000-0000-00009D000000}"/>
    <cellStyle name="Euro 11 3 2 2" xfId="3330" xr:uid="{00000000-0005-0000-0000-00009E000000}"/>
    <cellStyle name="Euro 11 3 3" xfId="695" xr:uid="{00000000-0005-0000-0000-00009F000000}"/>
    <cellStyle name="Euro 11 3 3 2" xfId="2100" xr:uid="{00000000-0005-0000-0000-0000A0000000}"/>
    <cellStyle name="Euro 11 3 4" xfId="2099" xr:uid="{00000000-0005-0000-0000-0000A1000000}"/>
    <cellStyle name="Euro 11 4" xfId="696" xr:uid="{00000000-0005-0000-0000-0000A2000000}"/>
    <cellStyle name="Euro 11 4 2" xfId="697" xr:uid="{00000000-0005-0000-0000-0000A3000000}"/>
    <cellStyle name="Euro 11 4 2 2" xfId="2102" xr:uid="{00000000-0005-0000-0000-0000A4000000}"/>
    <cellStyle name="Euro 11 4 3" xfId="2101" xr:uid="{00000000-0005-0000-0000-0000A5000000}"/>
    <cellStyle name="Euro 11 5" xfId="698" xr:uid="{00000000-0005-0000-0000-0000A6000000}"/>
    <cellStyle name="Euro 12" xfId="44" xr:uid="{00000000-0005-0000-0000-0000A7000000}"/>
    <cellStyle name="Euro 12 2" xfId="449" xr:uid="{00000000-0005-0000-0000-0000A8000000}"/>
    <cellStyle name="Euro 12 2 2" xfId="2103" xr:uid="{00000000-0005-0000-0000-0000A9000000}"/>
    <cellStyle name="Euro 12 3" xfId="699" xr:uid="{00000000-0005-0000-0000-0000AA000000}"/>
    <cellStyle name="Euro 12 3 2" xfId="700" xr:uid="{00000000-0005-0000-0000-0000AB000000}"/>
    <cellStyle name="Euro 12 3 2 2" xfId="3331" xr:uid="{00000000-0005-0000-0000-0000AC000000}"/>
    <cellStyle name="Euro 12 3 3" xfId="701" xr:uid="{00000000-0005-0000-0000-0000AD000000}"/>
    <cellStyle name="Euro 12 3 3 2" xfId="2105" xr:uid="{00000000-0005-0000-0000-0000AE000000}"/>
    <cellStyle name="Euro 12 3 4" xfId="2104" xr:uid="{00000000-0005-0000-0000-0000AF000000}"/>
    <cellStyle name="Euro 12 4" xfId="702" xr:uid="{00000000-0005-0000-0000-0000B0000000}"/>
    <cellStyle name="Euro 12 4 2" xfId="703" xr:uid="{00000000-0005-0000-0000-0000B1000000}"/>
    <cellStyle name="Euro 12 4 2 2" xfId="2107" xr:uid="{00000000-0005-0000-0000-0000B2000000}"/>
    <cellStyle name="Euro 12 4 3" xfId="2106" xr:uid="{00000000-0005-0000-0000-0000B3000000}"/>
    <cellStyle name="Euro 12 5" xfId="704" xr:uid="{00000000-0005-0000-0000-0000B4000000}"/>
    <cellStyle name="Euro 13" xfId="45" xr:uid="{00000000-0005-0000-0000-0000B5000000}"/>
    <cellStyle name="Euro 13 2" xfId="450" xr:uid="{00000000-0005-0000-0000-0000B6000000}"/>
    <cellStyle name="Euro 13 2 2" xfId="2108" xr:uid="{00000000-0005-0000-0000-0000B7000000}"/>
    <cellStyle name="Euro 13 3" xfId="705" xr:uid="{00000000-0005-0000-0000-0000B8000000}"/>
    <cellStyle name="Euro 13 3 2" xfId="706" xr:uid="{00000000-0005-0000-0000-0000B9000000}"/>
    <cellStyle name="Euro 13 3 2 2" xfId="3332" xr:uid="{00000000-0005-0000-0000-0000BA000000}"/>
    <cellStyle name="Euro 13 3 3" xfId="707" xr:uid="{00000000-0005-0000-0000-0000BB000000}"/>
    <cellStyle name="Euro 13 3 3 2" xfId="2110" xr:uid="{00000000-0005-0000-0000-0000BC000000}"/>
    <cellStyle name="Euro 13 3 4" xfId="2109" xr:uid="{00000000-0005-0000-0000-0000BD000000}"/>
    <cellStyle name="Euro 13 4" xfId="708" xr:uid="{00000000-0005-0000-0000-0000BE000000}"/>
    <cellStyle name="Euro 13 4 2" xfId="709" xr:uid="{00000000-0005-0000-0000-0000BF000000}"/>
    <cellStyle name="Euro 13 4 2 2" xfId="2112" xr:uid="{00000000-0005-0000-0000-0000C0000000}"/>
    <cellStyle name="Euro 13 4 3" xfId="2111" xr:uid="{00000000-0005-0000-0000-0000C1000000}"/>
    <cellStyle name="Euro 13 5" xfId="710" xr:uid="{00000000-0005-0000-0000-0000C2000000}"/>
    <cellStyle name="Euro 14" xfId="46" xr:uid="{00000000-0005-0000-0000-0000C3000000}"/>
    <cellStyle name="Euro 14 2" xfId="451" xr:uid="{00000000-0005-0000-0000-0000C4000000}"/>
    <cellStyle name="Euro 14 2 2" xfId="2113" xr:uid="{00000000-0005-0000-0000-0000C5000000}"/>
    <cellStyle name="Euro 14 3" xfId="711" xr:uid="{00000000-0005-0000-0000-0000C6000000}"/>
    <cellStyle name="Euro 14 3 2" xfId="712" xr:uid="{00000000-0005-0000-0000-0000C7000000}"/>
    <cellStyle name="Euro 14 3 2 2" xfId="3333" xr:uid="{00000000-0005-0000-0000-0000C8000000}"/>
    <cellStyle name="Euro 14 3 3" xfId="713" xr:uid="{00000000-0005-0000-0000-0000C9000000}"/>
    <cellStyle name="Euro 14 3 3 2" xfId="2115" xr:uid="{00000000-0005-0000-0000-0000CA000000}"/>
    <cellStyle name="Euro 14 3 4" xfId="2114" xr:uid="{00000000-0005-0000-0000-0000CB000000}"/>
    <cellStyle name="Euro 14 4" xfId="714" xr:uid="{00000000-0005-0000-0000-0000CC000000}"/>
    <cellStyle name="Euro 14 4 2" xfId="715" xr:uid="{00000000-0005-0000-0000-0000CD000000}"/>
    <cellStyle name="Euro 14 4 2 2" xfId="2117" xr:uid="{00000000-0005-0000-0000-0000CE000000}"/>
    <cellStyle name="Euro 14 4 3" xfId="2116" xr:uid="{00000000-0005-0000-0000-0000CF000000}"/>
    <cellStyle name="Euro 14 5" xfId="716" xr:uid="{00000000-0005-0000-0000-0000D0000000}"/>
    <cellStyle name="Euro 15" xfId="47" xr:uid="{00000000-0005-0000-0000-0000D1000000}"/>
    <cellStyle name="Euro 15 2" xfId="452" xr:uid="{00000000-0005-0000-0000-0000D2000000}"/>
    <cellStyle name="Euro 15 2 2" xfId="2118" xr:uid="{00000000-0005-0000-0000-0000D3000000}"/>
    <cellStyle name="Euro 15 3" xfId="717" xr:uid="{00000000-0005-0000-0000-0000D4000000}"/>
    <cellStyle name="Euro 15 3 2" xfId="718" xr:uid="{00000000-0005-0000-0000-0000D5000000}"/>
    <cellStyle name="Euro 15 3 2 2" xfId="3334" xr:uid="{00000000-0005-0000-0000-0000D6000000}"/>
    <cellStyle name="Euro 15 3 3" xfId="719" xr:uid="{00000000-0005-0000-0000-0000D7000000}"/>
    <cellStyle name="Euro 15 3 3 2" xfId="2120" xr:uid="{00000000-0005-0000-0000-0000D8000000}"/>
    <cellStyle name="Euro 15 3 4" xfId="2119" xr:uid="{00000000-0005-0000-0000-0000D9000000}"/>
    <cellStyle name="Euro 15 4" xfId="720" xr:uid="{00000000-0005-0000-0000-0000DA000000}"/>
    <cellStyle name="Euro 15 4 2" xfId="721" xr:uid="{00000000-0005-0000-0000-0000DB000000}"/>
    <cellStyle name="Euro 15 4 2 2" xfId="2122" xr:uid="{00000000-0005-0000-0000-0000DC000000}"/>
    <cellStyle name="Euro 15 4 3" xfId="2121" xr:uid="{00000000-0005-0000-0000-0000DD000000}"/>
    <cellStyle name="Euro 15 5" xfId="722" xr:uid="{00000000-0005-0000-0000-0000DE000000}"/>
    <cellStyle name="Euro 16" xfId="48" xr:uid="{00000000-0005-0000-0000-0000DF000000}"/>
    <cellStyle name="Euro 16 2" xfId="453" xr:uid="{00000000-0005-0000-0000-0000E0000000}"/>
    <cellStyle name="Euro 16 2 2" xfId="2123" xr:uid="{00000000-0005-0000-0000-0000E1000000}"/>
    <cellStyle name="Euro 16 3" xfId="723" xr:uid="{00000000-0005-0000-0000-0000E2000000}"/>
    <cellStyle name="Euro 16 3 2" xfId="724" xr:uid="{00000000-0005-0000-0000-0000E3000000}"/>
    <cellStyle name="Euro 16 3 2 2" xfId="3335" xr:uid="{00000000-0005-0000-0000-0000E4000000}"/>
    <cellStyle name="Euro 16 3 3" xfId="725" xr:uid="{00000000-0005-0000-0000-0000E5000000}"/>
    <cellStyle name="Euro 16 3 3 2" xfId="2125" xr:uid="{00000000-0005-0000-0000-0000E6000000}"/>
    <cellStyle name="Euro 16 3 4" xfId="2124" xr:uid="{00000000-0005-0000-0000-0000E7000000}"/>
    <cellStyle name="Euro 16 4" xfId="726" xr:uid="{00000000-0005-0000-0000-0000E8000000}"/>
    <cellStyle name="Euro 16 4 2" xfId="727" xr:uid="{00000000-0005-0000-0000-0000E9000000}"/>
    <cellStyle name="Euro 16 4 2 2" xfId="2127" xr:uid="{00000000-0005-0000-0000-0000EA000000}"/>
    <cellStyle name="Euro 16 4 3" xfId="2126" xr:uid="{00000000-0005-0000-0000-0000EB000000}"/>
    <cellStyle name="Euro 16 5" xfId="728" xr:uid="{00000000-0005-0000-0000-0000EC000000}"/>
    <cellStyle name="Euro 17" xfId="49" xr:uid="{00000000-0005-0000-0000-0000ED000000}"/>
    <cellStyle name="Euro 17 2" xfId="454" xr:uid="{00000000-0005-0000-0000-0000EE000000}"/>
    <cellStyle name="Euro 17 2 2" xfId="2128" xr:uid="{00000000-0005-0000-0000-0000EF000000}"/>
    <cellStyle name="Euro 17 3" xfId="729" xr:uid="{00000000-0005-0000-0000-0000F0000000}"/>
    <cellStyle name="Euro 17 3 2" xfId="730" xr:uid="{00000000-0005-0000-0000-0000F1000000}"/>
    <cellStyle name="Euro 17 3 2 2" xfId="3336" xr:uid="{00000000-0005-0000-0000-0000F2000000}"/>
    <cellStyle name="Euro 17 3 3" xfId="731" xr:uid="{00000000-0005-0000-0000-0000F3000000}"/>
    <cellStyle name="Euro 17 3 3 2" xfId="2130" xr:uid="{00000000-0005-0000-0000-0000F4000000}"/>
    <cellStyle name="Euro 17 3 4" xfId="2129" xr:uid="{00000000-0005-0000-0000-0000F5000000}"/>
    <cellStyle name="Euro 17 4" xfId="732" xr:uid="{00000000-0005-0000-0000-0000F6000000}"/>
    <cellStyle name="Euro 17 4 2" xfId="733" xr:uid="{00000000-0005-0000-0000-0000F7000000}"/>
    <cellStyle name="Euro 17 4 2 2" xfId="2132" xr:uid="{00000000-0005-0000-0000-0000F8000000}"/>
    <cellStyle name="Euro 17 4 3" xfId="2131" xr:uid="{00000000-0005-0000-0000-0000F9000000}"/>
    <cellStyle name="Euro 17 5" xfId="734" xr:uid="{00000000-0005-0000-0000-0000FA000000}"/>
    <cellStyle name="Euro 18" xfId="50" xr:uid="{00000000-0005-0000-0000-0000FB000000}"/>
    <cellStyle name="Euro 18 2" xfId="455" xr:uid="{00000000-0005-0000-0000-0000FC000000}"/>
    <cellStyle name="Euro 18 2 2" xfId="2133" xr:uid="{00000000-0005-0000-0000-0000FD000000}"/>
    <cellStyle name="Euro 18 3" xfId="735" xr:uid="{00000000-0005-0000-0000-0000FE000000}"/>
    <cellStyle name="Euro 18 3 2" xfId="736" xr:uid="{00000000-0005-0000-0000-0000FF000000}"/>
    <cellStyle name="Euro 18 3 2 2" xfId="3337" xr:uid="{00000000-0005-0000-0000-000000010000}"/>
    <cellStyle name="Euro 18 3 3" xfId="737" xr:uid="{00000000-0005-0000-0000-000001010000}"/>
    <cellStyle name="Euro 18 3 3 2" xfId="2135" xr:uid="{00000000-0005-0000-0000-000002010000}"/>
    <cellStyle name="Euro 18 3 4" xfId="2134" xr:uid="{00000000-0005-0000-0000-000003010000}"/>
    <cellStyle name="Euro 18 4" xfId="738" xr:uid="{00000000-0005-0000-0000-000004010000}"/>
    <cellStyle name="Euro 18 4 2" xfId="739" xr:uid="{00000000-0005-0000-0000-000005010000}"/>
    <cellStyle name="Euro 18 4 2 2" xfId="2137" xr:uid="{00000000-0005-0000-0000-000006010000}"/>
    <cellStyle name="Euro 18 4 3" xfId="2136" xr:uid="{00000000-0005-0000-0000-000007010000}"/>
    <cellStyle name="Euro 18 5" xfId="740" xr:uid="{00000000-0005-0000-0000-000008010000}"/>
    <cellStyle name="Euro 19" xfId="51" xr:uid="{00000000-0005-0000-0000-000009010000}"/>
    <cellStyle name="Euro 19 2" xfId="456" xr:uid="{00000000-0005-0000-0000-00000A010000}"/>
    <cellStyle name="Euro 19 2 2" xfId="2138" xr:uid="{00000000-0005-0000-0000-00000B010000}"/>
    <cellStyle name="Euro 19 3" xfId="741" xr:uid="{00000000-0005-0000-0000-00000C010000}"/>
    <cellStyle name="Euro 19 3 2" xfId="742" xr:uid="{00000000-0005-0000-0000-00000D010000}"/>
    <cellStyle name="Euro 19 3 2 2" xfId="3338" xr:uid="{00000000-0005-0000-0000-00000E010000}"/>
    <cellStyle name="Euro 19 3 3" xfId="743" xr:uid="{00000000-0005-0000-0000-00000F010000}"/>
    <cellStyle name="Euro 19 3 3 2" xfId="2140" xr:uid="{00000000-0005-0000-0000-000010010000}"/>
    <cellStyle name="Euro 19 3 4" xfId="2139" xr:uid="{00000000-0005-0000-0000-000011010000}"/>
    <cellStyle name="Euro 19 4" xfId="744" xr:uid="{00000000-0005-0000-0000-000012010000}"/>
    <cellStyle name="Euro 19 4 2" xfId="745" xr:uid="{00000000-0005-0000-0000-000013010000}"/>
    <cellStyle name="Euro 19 4 2 2" xfId="2142" xr:uid="{00000000-0005-0000-0000-000014010000}"/>
    <cellStyle name="Euro 19 4 3" xfId="2141" xr:uid="{00000000-0005-0000-0000-000015010000}"/>
    <cellStyle name="Euro 19 5" xfId="746" xr:uid="{00000000-0005-0000-0000-000016010000}"/>
    <cellStyle name="Euro 2" xfId="52" xr:uid="{00000000-0005-0000-0000-000017010000}"/>
    <cellStyle name="Euro 2 2" xfId="457" xr:uid="{00000000-0005-0000-0000-000018010000}"/>
    <cellStyle name="Euro 2 2 2" xfId="2143" xr:uid="{00000000-0005-0000-0000-000019010000}"/>
    <cellStyle name="Euro 2 3" xfId="747" xr:uid="{00000000-0005-0000-0000-00001A010000}"/>
    <cellStyle name="Euro 2 3 2" xfId="748" xr:uid="{00000000-0005-0000-0000-00001B010000}"/>
    <cellStyle name="Euro 2 3 2 2" xfId="3339" xr:uid="{00000000-0005-0000-0000-00001C010000}"/>
    <cellStyle name="Euro 2 3 3" xfId="749" xr:uid="{00000000-0005-0000-0000-00001D010000}"/>
    <cellStyle name="Euro 2 3 3 2" xfId="2145" xr:uid="{00000000-0005-0000-0000-00001E010000}"/>
    <cellStyle name="Euro 2 3 4" xfId="2144" xr:uid="{00000000-0005-0000-0000-00001F010000}"/>
    <cellStyle name="Euro 2 4" xfId="750" xr:uid="{00000000-0005-0000-0000-000020010000}"/>
    <cellStyle name="Euro 2 4 2" xfId="751" xr:uid="{00000000-0005-0000-0000-000021010000}"/>
    <cellStyle name="Euro 2 4 2 2" xfId="2147" xr:uid="{00000000-0005-0000-0000-000022010000}"/>
    <cellStyle name="Euro 2 4 3" xfId="2146" xr:uid="{00000000-0005-0000-0000-000023010000}"/>
    <cellStyle name="Euro 2 5" xfId="752" xr:uid="{00000000-0005-0000-0000-000024010000}"/>
    <cellStyle name="Euro 20" xfId="53" xr:uid="{00000000-0005-0000-0000-000025010000}"/>
    <cellStyle name="Euro 20 2" xfId="458" xr:uid="{00000000-0005-0000-0000-000026010000}"/>
    <cellStyle name="Euro 20 2 2" xfId="2148" xr:uid="{00000000-0005-0000-0000-000027010000}"/>
    <cellStyle name="Euro 20 3" xfId="753" xr:uid="{00000000-0005-0000-0000-000028010000}"/>
    <cellStyle name="Euro 20 3 2" xfId="754" xr:uid="{00000000-0005-0000-0000-000029010000}"/>
    <cellStyle name="Euro 20 3 2 2" xfId="3340" xr:uid="{00000000-0005-0000-0000-00002A010000}"/>
    <cellStyle name="Euro 20 3 3" xfId="755" xr:uid="{00000000-0005-0000-0000-00002B010000}"/>
    <cellStyle name="Euro 20 3 3 2" xfId="2150" xr:uid="{00000000-0005-0000-0000-00002C010000}"/>
    <cellStyle name="Euro 20 3 4" xfId="2149" xr:uid="{00000000-0005-0000-0000-00002D010000}"/>
    <cellStyle name="Euro 20 4" xfId="756" xr:uid="{00000000-0005-0000-0000-00002E010000}"/>
    <cellStyle name="Euro 20 4 2" xfId="757" xr:uid="{00000000-0005-0000-0000-00002F010000}"/>
    <cellStyle name="Euro 20 4 2 2" xfId="2152" xr:uid="{00000000-0005-0000-0000-000030010000}"/>
    <cellStyle name="Euro 20 4 3" xfId="2151" xr:uid="{00000000-0005-0000-0000-000031010000}"/>
    <cellStyle name="Euro 20 5" xfId="758" xr:uid="{00000000-0005-0000-0000-000032010000}"/>
    <cellStyle name="Euro 21" xfId="54" xr:uid="{00000000-0005-0000-0000-000033010000}"/>
    <cellStyle name="Euro 21 2" xfId="459" xr:uid="{00000000-0005-0000-0000-000034010000}"/>
    <cellStyle name="Euro 21 2 2" xfId="2153" xr:uid="{00000000-0005-0000-0000-000035010000}"/>
    <cellStyle name="Euro 21 3" xfId="759" xr:uid="{00000000-0005-0000-0000-000036010000}"/>
    <cellStyle name="Euro 21 3 2" xfId="760" xr:uid="{00000000-0005-0000-0000-000037010000}"/>
    <cellStyle name="Euro 21 3 2 2" xfId="3341" xr:uid="{00000000-0005-0000-0000-000038010000}"/>
    <cellStyle name="Euro 21 3 3" xfId="761" xr:uid="{00000000-0005-0000-0000-000039010000}"/>
    <cellStyle name="Euro 21 3 3 2" xfId="2155" xr:uid="{00000000-0005-0000-0000-00003A010000}"/>
    <cellStyle name="Euro 21 3 4" xfId="2154" xr:uid="{00000000-0005-0000-0000-00003B010000}"/>
    <cellStyle name="Euro 21 4" xfId="762" xr:uid="{00000000-0005-0000-0000-00003C010000}"/>
    <cellStyle name="Euro 21 4 2" xfId="763" xr:uid="{00000000-0005-0000-0000-00003D010000}"/>
    <cellStyle name="Euro 21 4 2 2" xfId="2157" xr:uid="{00000000-0005-0000-0000-00003E010000}"/>
    <cellStyle name="Euro 21 4 3" xfId="2156" xr:uid="{00000000-0005-0000-0000-00003F010000}"/>
    <cellStyle name="Euro 21 5" xfId="764" xr:uid="{00000000-0005-0000-0000-000040010000}"/>
    <cellStyle name="Euro 22" xfId="55" xr:uid="{00000000-0005-0000-0000-000041010000}"/>
    <cellStyle name="Euro 22 2" xfId="460" xr:uid="{00000000-0005-0000-0000-000042010000}"/>
    <cellStyle name="Euro 22 2 2" xfId="2158" xr:uid="{00000000-0005-0000-0000-000043010000}"/>
    <cellStyle name="Euro 22 3" xfId="765" xr:uid="{00000000-0005-0000-0000-000044010000}"/>
    <cellStyle name="Euro 22 3 2" xfId="766" xr:uid="{00000000-0005-0000-0000-000045010000}"/>
    <cellStyle name="Euro 22 3 2 2" xfId="3342" xr:uid="{00000000-0005-0000-0000-000046010000}"/>
    <cellStyle name="Euro 22 3 3" xfId="767" xr:uid="{00000000-0005-0000-0000-000047010000}"/>
    <cellStyle name="Euro 22 3 3 2" xfId="2160" xr:uid="{00000000-0005-0000-0000-000048010000}"/>
    <cellStyle name="Euro 22 3 4" xfId="2159" xr:uid="{00000000-0005-0000-0000-000049010000}"/>
    <cellStyle name="Euro 22 4" xfId="768" xr:uid="{00000000-0005-0000-0000-00004A010000}"/>
    <cellStyle name="Euro 22 4 2" xfId="769" xr:uid="{00000000-0005-0000-0000-00004B010000}"/>
    <cellStyle name="Euro 22 4 2 2" xfId="2162" xr:uid="{00000000-0005-0000-0000-00004C010000}"/>
    <cellStyle name="Euro 22 4 3" xfId="2161" xr:uid="{00000000-0005-0000-0000-00004D010000}"/>
    <cellStyle name="Euro 22 5" xfId="770" xr:uid="{00000000-0005-0000-0000-00004E010000}"/>
    <cellStyle name="Euro 23" xfId="56" xr:uid="{00000000-0005-0000-0000-00004F010000}"/>
    <cellStyle name="Euro 23 2" xfId="461" xr:uid="{00000000-0005-0000-0000-000050010000}"/>
    <cellStyle name="Euro 23 2 2" xfId="2163" xr:uid="{00000000-0005-0000-0000-000051010000}"/>
    <cellStyle name="Euro 23 3" xfId="771" xr:uid="{00000000-0005-0000-0000-000052010000}"/>
    <cellStyle name="Euro 23 3 2" xfId="772" xr:uid="{00000000-0005-0000-0000-000053010000}"/>
    <cellStyle name="Euro 23 3 2 2" xfId="3343" xr:uid="{00000000-0005-0000-0000-000054010000}"/>
    <cellStyle name="Euro 23 3 3" xfId="773" xr:uid="{00000000-0005-0000-0000-000055010000}"/>
    <cellStyle name="Euro 23 3 3 2" xfId="2165" xr:uid="{00000000-0005-0000-0000-000056010000}"/>
    <cellStyle name="Euro 23 3 4" xfId="2164" xr:uid="{00000000-0005-0000-0000-000057010000}"/>
    <cellStyle name="Euro 23 4" xfId="774" xr:uid="{00000000-0005-0000-0000-000058010000}"/>
    <cellStyle name="Euro 23 4 2" xfId="775" xr:uid="{00000000-0005-0000-0000-000059010000}"/>
    <cellStyle name="Euro 23 4 2 2" xfId="2167" xr:uid="{00000000-0005-0000-0000-00005A010000}"/>
    <cellStyle name="Euro 23 4 3" xfId="2166" xr:uid="{00000000-0005-0000-0000-00005B010000}"/>
    <cellStyle name="Euro 23 5" xfId="776" xr:uid="{00000000-0005-0000-0000-00005C010000}"/>
    <cellStyle name="Euro 24" xfId="57" xr:uid="{00000000-0005-0000-0000-00005D010000}"/>
    <cellStyle name="Euro 24 2" xfId="462" xr:uid="{00000000-0005-0000-0000-00005E010000}"/>
    <cellStyle name="Euro 24 2 2" xfId="2168" xr:uid="{00000000-0005-0000-0000-00005F010000}"/>
    <cellStyle name="Euro 24 3" xfId="777" xr:uid="{00000000-0005-0000-0000-000060010000}"/>
    <cellStyle name="Euro 24 3 2" xfId="778" xr:uid="{00000000-0005-0000-0000-000061010000}"/>
    <cellStyle name="Euro 24 3 2 2" xfId="3344" xr:uid="{00000000-0005-0000-0000-000062010000}"/>
    <cellStyle name="Euro 24 3 3" xfId="779" xr:uid="{00000000-0005-0000-0000-000063010000}"/>
    <cellStyle name="Euro 24 3 3 2" xfId="2170" xr:uid="{00000000-0005-0000-0000-000064010000}"/>
    <cellStyle name="Euro 24 3 4" xfId="2169" xr:uid="{00000000-0005-0000-0000-000065010000}"/>
    <cellStyle name="Euro 24 4" xfId="780" xr:uid="{00000000-0005-0000-0000-000066010000}"/>
    <cellStyle name="Euro 24 4 2" xfId="781" xr:uid="{00000000-0005-0000-0000-000067010000}"/>
    <cellStyle name="Euro 24 4 2 2" xfId="2172" xr:uid="{00000000-0005-0000-0000-000068010000}"/>
    <cellStyle name="Euro 24 4 3" xfId="2171" xr:uid="{00000000-0005-0000-0000-000069010000}"/>
    <cellStyle name="Euro 24 5" xfId="782" xr:uid="{00000000-0005-0000-0000-00006A010000}"/>
    <cellStyle name="Euro 25" xfId="58" xr:uid="{00000000-0005-0000-0000-00006B010000}"/>
    <cellStyle name="Euro 25 2" xfId="463" xr:uid="{00000000-0005-0000-0000-00006C010000}"/>
    <cellStyle name="Euro 25 2 2" xfId="2173" xr:uid="{00000000-0005-0000-0000-00006D010000}"/>
    <cellStyle name="Euro 25 3" xfId="783" xr:uid="{00000000-0005-0000-0000-00006E010000}"/>
    <cellStyle name="Euro 25 3 2" xfId="784" xr:uid="{00000000-0005-0000-0000-00006F010000}"/>
    <cellStyle name="Euro 25 3 2 2" xfId="3345" xr:uid="{00000000-0005-0000-0000-000070010000}"/>
    <cellStyle name="Euro 25 3 3" xfId="785" xr:uid="{00000000-0005-0000-0000-000071010000}"/>
    <cellStyle name="Euro 25 3 3 2" xfId="2175" xr:uid="{00000000-0005-0000-0000-000072010000}"/>
    <cellStyle name="Euro 25 3 4" xfId="2174" xr:uid="{00000000-0005-0000-0000-000073010000}"/>
    <cellStyle name="Euro 25 4" xfId="786" xr:uid="{00000000-0005-0000-0000-000074010000}"/>
    <cellStyle name="Euro 25 4 2" xfId="787" xr:uid="{00000000-0005-0000-0000-000075010000}"/>
    <cellStyle name="Euro 25 4 2 2" xfId="2177" xr:uid="{00000000-0005-0000-0000-000076010000}"/>
    <cellStyle name="Euro 25 4 3" xfId="2176" xr:uid="{00000000-0005-0000-0000-000077010000}"/>
    <cellStyle name="Euro 25 5" xfId="788" xr:uid="{00000000-0005-0000-0000-000078010000}"/>
    <cellStyle name="Euro 26" xfId="59" xr:uid="{00000000-0005-0000-0000-000079010000}"/>
    <cellStyle name="Euro 26 2" xfId="464" xr:uid="{00000000-0005-0000-0000-00007A010000}"/>
    <cellStyle name="Euro 26 2 2" xfId="2178" xr:uid="{00000000-0005-0000-0000-00007B010000}"/>
    <cellStyle name="Euro 26 3" xfId="789" xr:uid="{00000000-0005-0000-0000-00007C010000}"/>
    <cellStyle name="Euro 26 3 2" xfId="790" xr:uid="{00000000-0005-0000-0000-00007D010000}"/>
    <cellStyle name="Euro 26 3 2 2" xfId="3346" xr:uid="{00000000-0005-0000-0000-00007E010000}"/>
    <cellStyle name="Euro 26 3 3" xfId="791" xr:uid="{00000000-0005-0000-0000-00007F010000}"/>
    <cellStyle name="Euro 26 3 3 2" xfId="2180" xr:uid="{00000000-0005-0000-0000-000080010000}"/>
    <cellStyle name="Euro 26 3 4" xfId="2179" xr:uid="{00000000-0005-0000-0000-000081010000}"/>
    <cellStyle name="Euro 26 4" xfId="792" xr:uid="{00000000-0005-0000-0000-000082010000}"/>
    <cellStyle name="Euro 26 4 2" xfId="793" xr:uid="{00000000-0005-0000-0000-000083010000}"/>
    <cellStyle name="Euro 26 4 2 2" xfId="2182" xr:uid="{00000000-0005-0000-0000-000084010000}"/>
    <cellStyle name="Euro 26 4 3" xfId="2181" xr:uid="{00000000-0005-0000-0000-000085010000}"/>
    <cellStyle name="Euro 26 5" xfId="794" xr:uid="{00000000-0005-0000-0000-000086010000}"/>
    <cellStyle name="Euro 27" xfId="60" xr:uid="{00000000-0005-0000-0000-000087010000}"/>
    <cellStyle name="Euro 27 2" xfId="465" xr:uid="{00000000-0005-0000-0000-000088010000}"/>
    <cellStyle name="Euro 27 2 2" xfId="2183" xr:uid="{00000000-0005-0000-0000-000089010000}"/>
    <cellStyle name="Euro 27 3" xfId="795" xr:uid="{00000000-0005-0000-0000-00008A010000}"/>
    <cellStyle name="Euro 27 3 2" xfId="796" xr:uid="{00000000-0005-0000-0000-00008B010000}"/>
    <cellStyle name="Euro 27 3 2 2" xfId="3347" xr:uid="{00000000-0005-0000-0000-00008C010000}"/>
    <cellStyle name="Euro 27 3 3" xfId="797" xr:uid="{00000000-0005-0000-0000-00008D010000}"/>
    <cellStyle name="Euro 27 3 3 2" xfId="2185" xr:uid="{00000000-0005-0000-0000-00008E010000}"/>
    <cellStyle name="Euro 27 3 4" xfId="2184" xr:uid="{00000000-0005-0000-0000-00008F010000}"/>
    <cellStyle name="Euro 27 4" xfId="798" xr:uid="{00000000-0005-0000-0000-000090010000}"/>
    <cellStyle name="Euro 27 4 2" xfId="799" xr:uid="{00000000-0005-0000-0000-000091010000}"/>
    <cellStyle name="Euro 27 4 2 2" xfId="2187" xr:uid="{00000000-0005-0000-0000-000092010000}"/>
    <cellStyle name="Euro 27 4 3" xfId="2186" xr:uid="{00000000-0005-0000-0000-000093010000}"/>
    <cellStyle name="Euro 27 5" xfId="800" xr:uid="{00000000-0005-0000-0000-000094010000}"/>
    <cellStyle name="Euro 28" xfId="61" xr:uid="{00000000-0005-0000-0000-000095010000}"/>
    <cellStyle name="Euro 28 2" xfId="466" xr:uid="{00000000-0005-0000-0000-000096010000}"/>
    <cellStyle name="Euro 28 2 2" xfId="2188" xr:uid="{00000000-0005-0000-0000-000097010000}"/>
    <cellStyle name="Euro 28 3" xfId="801" xr:uid="{00000000-0005-0000-0000-000098010000}"/>
    <cellStyle name="Euro 28 3 2" xfId="802" xr:uid="{00000000-0005-0000-0000-000099010000}"/>
    <cellStyle name="Euro 28 3 2 2" xfId="3348" xr:uid="{00000000-0005-0000-0000-00009A010000}"/>
    <cellStyle name="Euro 28 3 3" xfId="803" xr:uid="{00000000-0005-0000-0000-00009B010000}"/>
    <cellStyle name="Euro 28 3 3 2" xfId="2190" xr:uid="{00000000-0005-0000-0000-00009C010000}"/>
    <cellStyle name="Euro 28 3 4" xfId="2189" xr:uid="{00000000-0005-0000-0000-00009D010000}"/>
    <cellStyle name="Euro 28 4" xfId="804" xr:uid="{00000000-0005-0000-0000-00009E010000}"/>
    <cellStyle name="Euro 28 4 2" xfId="805" xr:uid="{00000000-0005-0000-0000-00009F010000}"/>
    <cellStyle name="Euro 28 4 2 2" xfId="2192" xr:uid="{00000000-0005-0000-0000-0000A0010000}"/>
    <cellStyle name="Euro 28 4 3" xfId="2191" xr:uid="{00000000-0005-0000-0000-0000A1010000}"/>
    <cellStyle name="Euro 28 5" xfId="806" xr:uid="{00000000-0005-0000-0000-0000A2010000}"/>
    <cellStyle name="Euro 29" xfId="62" xr:uid="{00000000-0005-0000-0000-0000A3010000}"/>
    <cellStyle name="Euro 29 2" xfId="467" xr:uid="{00000000-0005-0000-0000-0000A4010000}"/>
    <cellStyle name="Euro 29 2 2" xfId="2193" xr:uid="{00000000-0005-0000-0000-0000A5010000}"/>
    <cellStyle name="Euro 29 3" xfId="807" xr:uid="{00000000-0005-0000-0000-0000A6010000}"/>
    <cellStyle name="Euro 29 3 2" xfId="808" xr:uid="{00000000-0005-0000-0000-0000A7010000}"/>
    <cellStyle name="Euro 29 3 2 2" xfId="3349" xr:uid="{00000000-0005-0000-0000-0000A8010000}"/>
    <cellStyle name="Euro 29 3 3" xfId="809" xr:uid="{00000000-0005-0000-0000-0000A9010000}"/>
    <cellStyle name="Euro 29 3 3 2" xfId="2195" xr:uid="{00000000-0005-0000-0000-0000AA010000}"/>
    <cellStyle name="Euro 29 3 4" xfId="2194" xr:uid="{00000000-0005-0000-0000-0000AB010000}"/>
    <cellStyle name="Euro 29 4" xfId="810" xr:uid="{00000000-0005-0000-0000-0000AC010000}"/>
    <cellStyle name="Euro 29 4 2" xfId="811" xr:uid="{00000000-0005-0000-0000-0000AD010000}"/>
    <cellStyle name="Euro 29 4 2 2" xfId="2197" xr:uid="{00000000-0005-0000-0000-0000AE010000}"/>
    <cellStyle name="Euro 29 4 3" xfId="2196" xr:uid="{00000000-0005-0000-0000-0000AF010000}"/>
    <cellStyle name="Euro 29 5" xfId="812" xr:uid="{00000000-0005-0000-0000-0000B0010000}"/>
    <cellStyle name="Euro 3" xfId="63" xr:uid="{00000000-0005-0000-0000-0000B1010000}"/>
    <cellStyle name="Euro 3 2" xfId="468" xr:uid="{00000000-0005-0000-0000-0000B2010000}"/>
    <cellStyle name="Euro 3 2 2" xfId="2198" xr:uid="{00000000-0005-0000-0000-0000B3010000}"/>
    <cellStyle name="Euro 3 3" xfId="813" xr:uid="{00000000-0005-0000-0000-0000B4010000}"/>
    <cellStyle name="Euro 3 3 2" xfId="814" xr:uid="{00000000-0005-0000-0000-0000B5010000}"/>
    <cellStyle name="Euro 3 3 2 2" xfId="3350" xr:uid="{00000000-0005-0000-0000-0000B6010000}"/>
    <cellStyle name="Euro 3 3 3" xfId="815" xr:uid="{00000000-0005-0000-0000-0000B7010000}"/>
    <cellStyle name="Euro 3 3 3 2" xfId="2200" xr:uid="{00000000-0005-0000-0000-0000B8010000}"/>
    <cellStyle name="Euro 3 3 4" xfId="2199" xr:uid="{00000000-0005-0000-0000-0000B9010000}"/>
    <cellStyle name="Euro 3 4" xfId="816" xr:uid="{00000000-0005-0000-0000-0000BA010000}"/>
    <cellStyle name="Euro 3 4 2" xfId="817" xr:uid="{00000000-0005-0000-0000-0000BB010000}"/>
    <cellStyle name="Euro 3 4 2 2" xfId="2202" xr:uid="{00000000-0005-0000-0000-0000BC010000}"/>
    <cellStyle name="Euro 3 4 3" xfId="2201" xr:uid="{00000000-0005-0000-0000-0000BD010000}"/>
    <cellStyle name="Euro 3 5" xfId="818" xr:uid="{00000000-0005-0000-0000-0000BE010000}"/>
    <cellStyle name="Euro 30" xfId="64" xr:uid="{00000000-0005-0000-0000-0000BF010000}"/>
    <cellStyle name="Euro 30 2" xfId="469" xr:uid="{00000000-0005-0000-0000-0000C0010000}"/>
    <cellStyle name="Euro 30 2 2" xfId="2203" xr:uid="{00000000-0005-0000-0000-0000C1010000}"/>
    <cellStyle name="Euro 30 3" xfId="819" xr:uid="{00000000-0005-0000-0000-0000C2010000}"/>
    <cellStyle name="Euro 30 3 2" xfId="820" xr:uid="{00000000-0005-0000-0000-0000C3010000}"/>
    <cellStyle name="Euro 30 3 2 2" xfId="3351" xr:uid="{00000000-0005-0000-0000-0000C4010000}"/>
    <cellStyle name="Euro 30 3 3" xfId="821" xr:uid="{00000000-0005-0000-0000-0000C5010000}"/>
    <cellStyle name="Euro 30 3 3 2" xfId="2205" xr:uid="{00000000-0005-0000-0000-0000C6010000}"/>
    <cellStyle name="Euro 30 3 4" xfId="2204" xr:uid="{00000000-0005-0000-0000-0000C7010000}"/>
    <cellStyle name="Euro 30 4" xfId="822" xr:uid="{00000000-0005-0000-0000-0000C8010000}"/>
    <cellStyle name="Euro 30 4 2" xfId="823" xr:uid="{00000000-0005-0000-0000-0000C9010000}"/>
    <cellStyle name="Euro 30 4 2 2" xfId="2207" xr:uid="{00000000-0005-0000-0000-0000CA010000}"/>
    <cellStyle name="Euro 30 4 3" xfId="2206" xr:uid="{00000000-0005-0000-0000-0000CB010000}"/>
    <cellStyle name="Euro 30 5" xfId="824" xr:uid="{00000000-0005-0000-0000-0000CC010000}"/>
    <cellStyle name="Euro 31" xfId="65" xr:uid="{00000000-0005-0000-0000-0000CD010000}"/>
    <cellStyle name="Euro 31 2" xfId="470" xr:uid="{00000000-0005-0000-0000-0000CE010000}"/>
    <cellStyle name="Euro 31 2 2" xfId="2208" xr:uid="{00000000-0005-0000-0000-0000CF010000}"/>
    <cellStyle name="Euro 31 3" xfId="825" xr:uid="{00000000-0005-0000-0000-0000D0010000}"/>
    <cellStyle name="Euro 31 3 2" xfId="826" xr:uid="{00000000-0005-0000-0000-0000D1010000}"/>
    <cellStyle name="Euro 31 3 2 2" xfId="3352" xr:uid="{00000000-0005-0000-0000-0000D2010000}"/>
    <cellStyle name="Euro 31 3 3" xfId="827" xr:uid="{00000000-0005-0000-0000-0000D3010000}"/>
    <cellStyle name="Euro 31 3 3 2" xfId="2210" xr:uid="{00000000-0005-0000-0000-0000D4010000}"/>
    <cellStyle name="Euro 31 3 4" xfId="2209" xr:uid="{00000000-0005-0000-0000-0000D5010000}"/>
    <cellStyle name="Euro 31 4" xfId="828" xr:uid="{00000000-0005-0000-0000-0000D6010000}"/>
    <cellStyle name="Euro 31 4 2" xfId="829" xr:uid="{00000000-0005-0000-0000-0000D7010000}"/>
    <cellStyle name="Euro 31 4 2 2" xfId="2212" xr:uid="{00000000-0005-0000-0000-0000D8010000}"/>
    <cellStyle name="Euro 31 4 3" xfId="2211" xr:uid="{00000000-0005-0000-0000-0000D9010000}"/>
    <cellStyle name="Euro 31 5" xfId="830" xr:uid="{00000000-0005-0000-0000-0000DA010000}"/>
    <cellStyle name="Euro 32" xfId="66" xr:uid="{00000000-0005-0000-0000-0000DB010000}"/>
    <cellStyle name="Euro 32 2" xfId="471" xr:uid="{00000000-0005-0000-0000-0000DC010000}"/>
    <cellStyle name="Euro 32 2 2" xfId="2213" xr:uid="{00000000-0005-0000-0000-0000DD010000}"/>
    <cellStyle name="Euro 32 3" xfId="831" xr:uid="{00000000-0005-0000-0000-0000DE010000}"/>
    <cellStyle name="Euro 32 3 2" xfId="832" xr:uid="{00000000-0005-0000-0000-0000DF010000}"/>
    <cellStyle name="Euro 32 3 2 2" xfId="3353" xr:uid="{00000000-0005-0000-0000-0000E0010000}"/>
    <cellStyle name="Euro 32 3 3" xfId="833" xr:uid="{00000000-0005-0000-0000-0000E1010000}"/>
    <cellStyle name="Euro 32 3 3 2" xfId="2215" xr:uid="{00000000-0005-0000-0000-0000E2010000}"/>
    <cellStyle name="Euro 32 3 4" xfId="2214" xr:uid="{00000000-0005-0000-0000-0000E3010000}"/>
    <cellStyle name="Euro 32 4" xfId="834" xr:uid="{00000000-0005-0000-0000-0000E4010000}"/>
    <cellStyle name="Euro 32 4 2" xfId="835" xr:uid="{00000000-0005-0000-0000-0000E5010000}"/>
    <cellStyle name="Euro 32 4 2 2" xfId="2217" xr:uid="{00000000-0005-0000-0000-0000E6010000}"/>
    <cellStyle name="Euro 32 4 3" xfId="2216" xr:uid="{00000000-0005-0000-0000-0000E7010000}"/>
    <cellStyle name="Euro 32 5" xfId="836" xr:uid="{00000000-0005-0000-0000-0000E8010000}"/>
    <cellStyle name="Euro 33" xfId="67" xr:uid="{00000000-0005-0000-0000-0000E9010000}"/>
    <cellStyle name="Euro 33 2" xfId="472" xr:uid="{00000000-0005-0000-0000-0000EA010000}"/>
    <cellStyle name="Euro 33 2 2" xfId="2218" xr:uid="{00000000-0005-0000-0000-0000EB010000}"/>
    <cellStyle name="Euro 33 3" xfId="837" xr:uid="{00000000-0005-0000-0000-0000EC010000}"/>
    <cellStyle name="Euro 33 3 2" xfId="838" xr:uid="{00000000-0005-0000-0000-0000ED010000}"/>
    <cellStyle name="Euro 33 3 2 2" xfId="3354" xr:uid="{00000000-0005-0000-0000-0000EE010000}"/>
    <cellStyle name="Euro 33 3 3" xfId="839" xr:uid="{00000000-0005-0000-0000-0000EF010000}"/>
    <cellStyle name="Euro 33 3 3 2" xfId="2220" xr:uid="{00000000-0005-0000-0000-0000F0010000}"/>
    <cellStyle name="Euro 33 3 4" xfId="2219" xr:uid="{00000000-0005-0000-0000-0000F1010000}"/>
    <cellStyle name="Euro 33 4" xfId="840" xr:uid="{00000000-0005-0000-0000-0000F2010000}"/>
    <cellStyle name="Euro 33 4 2" xfId="841" xr:uid="{00000000-0005-0000-0000-0000F3010000}"/>
    <cellStyle name="Euro 33 4 2 2" xfId="2222" xr:uid="{00000000-0005-0000-0000-0000F4010000}"/>
    <cellStyle name="Euro 33 4 3" xfId="2221" xr:uid="{00000000-0005-0000-0000-0000F5010000}"/>
    <cellStyle name="Euro 33 5" xfId="842" xr:uid="{00000000-0005-0000-0000-0000F6010000}"/>
    <cellStyle name="Euro 34" xfId="68" xr:uid="{00000000-0005-0000-0000-0000F7010000}"/>
    <cellStyle name="Euro 34 2" xfId="473" xr:uid="{00000000-0005-0000-0000-0000F8010000}"/>
    <cellStyle name="Euro 34 2 2" xfId="2223" xr:uid="{00000000-0005-0000-0000-0000F9010000}"/>
    <cellStyle name="Euro 34 3" xfId="843" xr:uid="{00000000-0005-0000-0000-0000FA010000}"/>
    <cellStyle name="Euro 34 3 2" xfId="844" xr:uid="{00000000-0005-0000-0000-0000FB010000}"/>
    <cellStyle name="Euro 34 3 2 2" xfId="3355" xr:uid="{00000000-0005-0000-0000-0000FC010000}"/>
    <cellStyle name="Euro 34 3 3" xfId="845" xr:uid="{00000000-0005-0000-0000-0000FD010000}"/>
    <cellStyle name="Euro 34 3 3 2" xfId="2225" xr:uid="{00000000-0005-0000-0000-0000FE010000}"/>
    <cellStyle name="Euro 34 3 4" xfId="2224" xr:uid="{00000000-0005-0000-0000-0000FF010000}"/>
    <cellStyle name="Euro 34 4" xfId="846" xr:uid="{00000000-0005-0000-0000-000000020000}"/>
    <cellStyle name="Euro 34 4 2" xfId="847" xr:uid="{00000000-0005-0000-0000-000001020000}"/>
    <cellStyle name="Euro 34 4 2 2" xfId="2227" xr:uid="{00000000-0005-0000-0000-000002020000}"/>
    <cellStyle name="Euro 34 4 3" xfId="2226" xr:uid="{00000000-0005-0000-0000-000003020000}"/>
    <cellStyle name="Euro 34 5" xfId="848" xr:uid="{00000000-0005-0000-0000-000004020000}"/>
    <cellStyle name="Euro 35" xfId="69" xr:uid="{00000000-0005-0000-0000-000005020000}"/>
    <cellStyle name="Euro 35 2" xfId="474" xr:uid="{00000000-0005-0000-0000-000006020000}"/>
    <cellStyle name="Euro 35 2 2" xfId="2228" xr:uid="{00000000-0005-0000-0000-000007020000}"/>
    <cellStyle name="Euro 35 3" xfId="849" xr:uid="{00000000-0005-0000-0000-000008020000}"/>
    <cellStyle name="Euro 35 3 2" xfId="850" xr:uid="{00000000-0005-0000-0000-000009020000}"/>
    <cellStyle name="Euro 35 3 2 2" xfId="3356" xr:uid="{00000000-0005-0000-0000-00000A020000}"/>
    <cellStyle name="Euro 35 3 3" xfId="851" xr:uid="{00000000-0005-0000-0000-00000B020000}"/>
    <cellStyle name="Euro 35 3 3 2" xfId="2230" xr:uid="{00000000-0005-0000-0000-00000C020000}"/>
    <cellStyle name="Euro 35 3 4" xfId="2229" xr:uid="{00000000-0005-0000-0000-00000D020000}"/>
    <cellStyle name="Euro 35 4" xfId="852" xr:uid="{00000000-0005-0000-0000-00000E020000}"/>
    <cellStyle name="Euro 35 4 2" xfId="853" xr:uid="{00000000-0005-0000-0000-00000F020000}"/>
    <cellStyle name="Euro 35 4 2 2" xfId="2232" xr:uid="{00000000-0005-0000-0000-000010020000}"/>
    <cellStyle name="Euro 35 4 3" xfId="2231" xr:uid="{00000000-0005-0000-0000-000011020000}"/>
    <cellStyle name="Euro 35 5" xfId="854" xr:uid="{00000000-0005-0000-0000-000012020000}"/>
    <cellStyle name="Euro 36" xfId="70" xr:uid="{00000000-0005-0000-0000-000013020000}"/>
    <cellStyle name="Euro 36 2" xfId="475" xr:uid="{00000000-0005-0000-0000-000014020000}"/>
    <cellStyle name="Euro 36 2 2" xfId="2233" xr:uid="{00000000-0005-0000-0000-000015020000}"/>
    <cellStyle name="Euro 36 3" xfId="855" xr:uid="{00000000-0005-0000-0000-000016020000}"/>
    <cellStyle name="Euro 36 3 2" xfId="856" xr:uid="{00000000-0005-0000-0000-000017020000}"/>
    <cellStyle name="Euro 36 3 2 2" xfId="3357" xr:uid="{00000000-0005-0000-0000-000018020000}"/>
    <cellStyle name="Euro 36 3 3" xfId="857" xr:uid="{00000000-0005-0000-0000-000019020000}"/>
    <cellStyle name="Euro 36 3 3 2" xfId="2235" xr:uid="{00000000-0005-0000-0000-00001A020000}"/>
    <cellStyle name="Euro 36 3 4" xfId="2234" xr:uid="{00000000-0005-0000-0000-00001B020000}"/>
    <cellStyle name="Euro 36 4" xfId="858" xr:uid="{00000000-0005-0000-0000-00001C020000}"/>
    <cellStyle name="Euro 36 4 2" xfId="859" xr:uid="{00000000-0005-0000-0000-00001D020000}"/>
    <cellStyle name="Euro 36 4 2 2" xfId="2237" xr:uid="{00000000-0005-0000-0000-00001E020000}"/>
    <cellStyle name="Euro 36 4 3" xfId="2236" xr:uid="{00000000-0005-0000-0000-00001F020000}"/>
    <cellStyle name="Euro 36 5" xfId="860" xr:uid="{00000000-0005-0000-0000-000020020000}"/>
    <cellStyle name="Euro 37" xfId="71" xr:uid="{00000000-0005-0000-0000-000021020000}"/>
    <cellStyle name="Euro 37 2" xfId="476" xr:uid="{00000000-0005-0000-0000-000022020000}"/>
    <cellStyle name="Euro 37 2 2" xfId="2238" xr:uid="{00000000-0005-0000-0000-000023020000}"/>
    <cellStyle name="Euro 37 3" xfId="861" xr:uid="{00000000-0005-0000-0000-000024020000}"/>
    <cellStyle name="Euro 37 3 2" xfId="862" xr:uid="{00000000-0005-0000-0000-000025020000}"/>
    <cellStyle name="Euro 37 3 2 2" xfId="3358" xr:uid="{00000000-0005-0000-0000-000026020000}"/>
    <cellStyle name="Euro 37 3 3" xfId="863" xr:uid="{00000000-0005-0000-0000-000027020000}"/>
    <cellStyle name="Euro 37 3 3 2" xfId="2240" xr:uid="{00000000-0005-0000-0000-000028020000}"/>
    <cellStyle name="Euro 37 3 4" xfId="2239" xr:uid="{00000000-0005-0000-0000-000029020000}"/>
    <cellStyle name="Euro 37 4" xfId="864" xr:uid="{00000000-0005-0000-0000-00002A020000}"/>
    <cellStyle name="Euro 37 4 2" xfId="865" xr:uid="{00000000-0005-0000-0000-00002B020000}"/>
    <cellStyle name="Euro 37 4 2 2" xfId="2242" xr:uid="{00000000-0005-0000-0000-00002C020000}"/>
    <cellStyle name="Euro 37 4 3" xfId="2241" xr:uid="{00000000-0005-0000-0000-00002D020000}"/>
    <cellStyle name="Euro 37 5" xfId="866" xr:uid="{00000000-0005-0000-0000-00002E020000}"/>
    <cellStyle name="Euro 38" xfId="72" xr:uid="{00000000-0005-0000-0000-00002F020000}"/>
    <cellStyle name="Euro 38 2" xfId="477" xr:uid="{00000000-0005-0000-0000-000030020000}"/>
    <cellStyle name="Euro 38 2 2" xfId="2243" xr:uid="{00000000-0005-0000-0000-000031020000}"/>
    <cellStyle name="Euro 38 3" xfId="867" xr:uid="{00000000-0005-0000-0000-000032020000}"/>
    <cellStyle name="Euro 38 3 2" xfId="868" xr:uid="{00000000-0005-0000-0000-000033020000}"/>
    <cellStyle name="Euro 38 3 2 2" xfId="3359" xr:uid="{00000000-0005-0000-0000-000034020000}"/>
    <cellStyle name="Euro 38 3 3" xfId="869" xr:uid="{00000000-0005-0000-0000-000035020000}"/>
    <cellStyle name="Euro 38 3 3 2" xfId="2245" xr:uid="{00000000-0005-0000-0000-000036020000}"/>
    <cellStyle name="Euro 38 3 4" xfId="2244" xr:uid="{00000000-0005-0000-0000-000037020000}"/>
    <cellStyle name="Euro 38 4" xfId="870" xr:uid="{00000000-0005-0000-0000-000038020000}"/>
    <cellStyle name="Euro 38 4 2" xfId="871" xr:uid="{00000000-0005-0000-0000-000039020000}"/>
    <cellStyle name="Euro 38 4 2 2" xfId="2247" xr:uid="{00000000-0005-0000-0000-00003A020000}"/>
    <cellStyle name="Euro 38 4 3" xfId="2246" xr:uid="{00000000-0005-0000-0000-00003B020000}"/>
    <cellStyle name="Euro 38 5" xfId="872" xr:uid="{00000000-0005-0000-0000-00003C020000}"/>
    <cellStyle name="Euro 39" xfId="73" xr:uid="{00000000-0005-0000-0000-00003D020000}"/>
    <cellStyle name="Euro 39 2" xfId="478" xr:uid="{00000000-0005-0000-0000-00003E020000}"/>
    <cellStyle name="Euro 39 2 2" xfId="2248" xr:uid="{00000000-0005-0000-0000-00003F020000}"/>
    <cellStyle name="Euro 39 3" xfId="873" xr:uid="{00000000-0005-0000-0000-000040020000}"/>
    <cellStyle name="Euro 39 3 2" xfId="874" xr:uid="{00000000-0005-0000-0000-000041020000}"/>
    <cellStyle name="Euro 39 3 2 2" xfId="3360" xr:uid="{00000000-0005-0000-0000-000042020000}"/>
    <cellStyle name="Euro 39 3 3" xfId="875" xr:uid="{00000000-0005-0000-0000-000043020000}"/>
    <cellStyle name="Euro 39 3 3 2" xfId="2250" xr:uid="{00000000-0005-0000-0000-000044020000}"/>
    <cellStyle name="Euro 39 3 4" xfId="2249" xr:uid="{00000000-0005-0000-0000-000045020000}"/>
    <cellStyle name="Euro 39 4" xfId="876" xr:uid="{00000000-0005-0000-0000-000046020000}"/>
    <cellStyle name="Euro 39 4 2" xfId="877" xr:uid="{00000000-0005-0000-0000-000047020000}"/>
    <cellStyle name="Euro 39 4 2 2" xfId="2252" xr:uid="{00000000-0005-0000-0000-000048020000}"/>
    <cellStyle name="Euro 39 4 3" xfId="2251" xr:uid="{00000000-0005-0000-0000-000049020000}"/>
    <cellStyle name="Euro 39 5" xfId="878" xr:uid="{00000000-0005-0000-0000-00004A020000}"/>
    <cellStyle name="Euro 4" xfId="74" xr:uid="{00000000-0005-0000-0000-00004B020000}"/>
    <cellStyle name="Euro 4 2" xfId="479" xr:uid="{00000000-0005-0000-0000-00004C020000}"/>
    <cellStyle name="Euro 4 2 2" xfId="2253" xr:uid="{00000000-0005-0000-0000-00004D020000}"/>
    <cellStyle name="Euro 4 3" xfId="879" xr:uid="{00000000-0005-0000-0000-00004E020000}"/>
    <cellStyle name="Euro 4 3 2" xfId="880" xr:uid="{00000000-0005-0000-0000-00004F020000}"/>
    <cellStyle name="Euro 4 3 2 2" xfId="3361" xr:uid="{00000000-0005-0000-0000-000050020000}"/>
    <cellStyle name="Euro 4 3 3" xfId="881" xr:uid="{00000000-0005-0000-0000-000051020000}"/>
    <cellStyle name="Euro 4 3 3 2" xfId="2255" xr:uid="{00000000-0005-0000-0000-000052020000}"/>
    <cellStyle name="Euro 4 3 4" xfId="2254" xr:uid="{00000000-0005-0000-0000-000053020000}"/>
    <cellStyle name="Euro 4 4" xfId="882" xr:uid="{00000000-0005-0000-0000-000054020000}"/>
    <cellStyle name="Euro 4 4 2" xfId="883" xr:uid="{00000000-0005-0000-0000-000055020000}"/>
    <cellStyle name="Euro 4 4 2 2" xfId="2257" xr:uid="{00000000-0005-0000-0000-000056020000}"/>
    <cellStyle name="Euro 4 4 3" xfId="2256" xr:uid="{00000000-0005-0000-0000-000057020000}"/>
    <cellStyle name="Euro 4 5" xfId="884" xr:uid="{00000000-0005-0000-0000-000058020000}"/>
    <cellStyle name="Euro 40" xfId="75" xr:uid="{00000000-0005-0000-0000-000059020000}"/>
    <cellStyle name="Euro 40 2" xfId="480" xr:uid="{00000000-0005-0000-0000-00005A020000}"/>
    <cellStyle name="Euro 40 2 2" xfId="2258" xr:uid="{00000000-0005-0000-0000-00005B020000}"/>
    <cellStyle name="Euro 40 3" xfId="885" xr:uid="{00000000-0005-0000-0000-00005C020000}"/>
    <cellStyle name="Euro 40 3 2" xfId="886" xr:uid="{00000000-0005-0000-0000-00005D020000}"/>
    <cellStyle name="Euro 40 3 2 2" xfId="3362" xr:uid="{00000000-0005-0000-0000-00005E020000}"/>
    <cellStyle name="Euro 40 3 3" xfId="887" xr:uid="{00000000-0005-0000-0000-00005F020000}"/>
    <cellStyle name="Euro 40 3 3 2" xfId="2260" xr:uid="{00000000-0005-0000-0000-000060020000}"/>
    <cellStyle name="Euro 40 3 4" xfId="2259" xr:uid="{00000000-0005-0000-0000-000061020000}"/>
    <cellStyle name="Euro 40 4" xfId="888" xr:uid="{00000000-0005-0000-0000-000062020000}"/>
    <cellStyle name="Euro 40 4 2" xfId="889" xr:uid="{00000000-0005-0000-0000-000063020000}"/>
    <cellStyle name="Euro 40 4 2 2" xfId="2262" xr:uid="{00000000-0005-0000-0000-000064020000}"/>
    <cellStyle name="Euro 40 4 3" xfId="2261" xr:uid="{00000000-0005-0000-0000-000065020000}"/>
    <cellStyle name="Euro 40 5" xfId="890" xr:uid="{00000000-0005-0000-0000-000066020000}"/>
    <cellStyle name="Euro 41" xfId="76" xr:uid="{00000000-0005-0000-0000-000067020000}"/>
    <cellStyle name="Euro 41 2" xfId="481" xr:uid="{00000000-0005-0000-0000-000068020000}"/>
    <cellStyle name="Euro 41 2 2" xfId="2263" xr:uid="{00000000-0005-0000-0000-000069020000}"/>
    <cellStyle name="Euro 41 3" xfId="891" xr:uid="{00000000-0005-0000-0000-00006A020000}"/>
    <cellStyle name="Euro 41 3 2" xfId="892" xr:uid="{00000000-0005-0000-0000-00006B020000}"/>
    <cellStyle name="Euro 41 3 2 2" xfId="3363" xr:uid="{00000000-0005-0000-0000-00006C020000}"/>
    <cellStyle name="Euro 41 3 3" xfId="893" xr:uid="{00000000-0005-0000-0000-00006D020000}"/>
    <cellStyle name="Euro 41 3 3 2" xfId="2265" xr:uid="{00000000-0005-0000-0000-00006E020000}"/>
    <cellStyle name="Euro 41 3 4" xfId="2264" xr:uid="{00000000-0005-0000-0000-00006F020000}"/>
    <cellStyle name="Euro 41 4" xfId="894" xr:uid="{00000000-0005-0000-0000-000070020000}"/>
    <cellStyle name="Euro 41 4 2" xfId="895" xr:uid="{00000000-0005-0000-0000-000071020000}"/>
    <cellStyle name="Euro 41 4 2 2" xfId="2267" xr:uid="{00000000-0005-0000-0000-000072020000}"/>
    <cellStyle name="Euro 41 4 3" xfId="2266" xr:uid="{00000000-0005-0000-0000-000073020000}"/>
    <cellStyle name="Euro 41 5" xfId="896" xr:uid="{00000000-0005-0000-0000-000074020000}"/>
    <cellStyle name="Euro 42" xfId="77" xr:uid="{00000000-0005-0000-0000-000075020000}"/>
    <cellStyle name="Euro 42 2" xfId="482" xr:uid="{00000000-0005-0000-0000-000076020000}"/>
    <cellStyle name="Euro 42 2 2" xfId="2268" xr:uid="{00000000-0005-0000-0000-000077020000}"/>
    <cellStyle name="Euro 42 3" xfId="897" xr:uid="{00000000-0005-0000-0000-000078020000}"/>
    <cellStyle name="Euro 42 3 2" xfId="898" xr:uid="{00000000-0005-0000-0000-000079020000}"/>
    <cellStyle name="Euro 42 3 2 2" xfId="3364" xr:uid="{00000000-0005-0000-0000-00007A020000}"/>
    <cellStyle name="Euro 42 3 3" xfId="899" xr:uid="{00000000-0005-0000-0000-00007B020000}"/>
    <cellStyle name="Euro 42 3 3 2" xfId="2270" xr:uid="{00000000-0005-0000-0000-00007C020000}"/>
    <cellStyle name="Euro 42 3 4" xfId="2269" xr:uid="{00000000-0005-0000-0000-00007D020000}"/>
    <cellStyle name="Euro 42 4" xfId="900" xr:uid="{00000000-0005-0000-0000-00007E020000}"/>
    <cellStyle name="Euro 42 4 2" xfId="901" xr:uid="{00000000-0005-0000-0000-00007F020000}"/>
    <cellStyle name="Euro 42 4 2 2" xfId="2272" xr:uid="{00000000-0005-0000-0000-000080020000}"/>
    <cellStyle name="Euro 42 4 3" xfId="2271" xr:uid="{00000000-0005-0000-0000-000081020000}"/>
    <cellStyle name="Euro 42 5" xfId="902" xr:uid="{00000000-0005-0000-0000-000082020000}"/>
    <cellStyle name="Euro 43" xfId="78" xr:uid="{00000000-0005-0000-0000-000083020000}"/>
    <cellStyle name="Euro 43 2" xfId="483" xr:uid="{00000000-0005-0000-0000-000084020000}"/>
    <cellStyle name="Euro 43 2 2" xfId="2273" xr:uid="{00000000-0005-0000-0000-000085020000}"/>
    <cellStyle name="Euro 43 3" xfId="903" xr:uid="{00000000-0005-0000-0000-000086020000}"/>
    <cellStyle name="Euro 43 3 2" xfId="904" xr:uid="{00000000-0005-0000-0000-000087020000}"/>
    <cellStyle name="Euro 43 3 2 2" xfId="3365" xr:uid="{00000000-0005-0000-0000-000088020000}"/>
    <cellStyle name="Euro 43 3 3" xfId="905" xr:uid="{00000000-0005-0000-0000-000089020000}"/>
    <cellStyle name="Euro 43 3 3 2" xfId="2275" xr:uid="{00000000-0005-0000-0000-00008A020000}"/>
    <cellStyle name="Euro 43 3 4" xfId="2274" xr:uid="{00000000-0005-0000-0000-00008B020000}"/>
    <cellStyle name="Euro 43 4" xfId="906" xr:uid="{00000000-0005-0000-0000-00008C020000}"/>
    <cellStyle name="Euro 43 4 2" xfId="907" xr:uid="{00000000-0005-0000-0000-00008D020000}"/>
    <cellStyle name="Euro 43 4 2 2" xfId="2277" xr:uid="{00000000-0005-0000-0000-00008E020000}"/>
    <cellStyle name="Euro 43 4 3" xfId="2276" xr:uid="{00000000-0005-0000-0000-00008F020000}"/>
    <cellStyle name="Euro 43 5" xfId="908" xr:uid="{00000000-0005-0000-0000-000090020000}"/>
    <cellStyle name="Euro 44" xfId="79" xr:uid="{00000000-0005-0000-0000-000091020000}"/>
    <cellStyle name="Euro 44 2" xfId="484" xr:uid="{00000000-0005-0000-0000-000092020000}"/>
    <cellStyle name="Euro 44 2 2" xfId="2278" xr:uid="{00000000-0005-0000-0000-000093020000}"/>
    <cellStyle name="Euro 44 3" xfId="909" xr:uid="{00000000-0005-0000-0000-000094020000}"/>
    <cellStyle name="Euro 44 3 2" xfId="910" xr:uid="{00000000-0005-0000-0000-000095020000}"/>
    <cellStyle name="Euro 44 3 2 2" xfId="3366" xr:uid="{00000000-0005-0000-0000-000096020000}"/>
    <cellStyle name="Euro 44 3 3" xfId="911" xr:uid="{00000000-0005-0000-0000-000097020000}"/>
    <cellStyle name="Euro 44 3 3 2" xfId="2280" xr:uid="{00000000-0005-0000-0000-000098020000}"/>
    <cellStyle name="Euro 44 3 4" xfId="2279" xr:uid="{00000000-0005-0000-0000-000099020000}"/>
    <cellStyle name="Euro 44 4" xfId="912" xr:uid="{00000000-0005-0000-0000-00009A020000}"/>
    <cellStyle name="Euro 44 4 2" xfId="913" xr:uid="{00000000-0005-0000-0000-00009B020000}"/>
    <cellStyle name="Euro 44 4 2 2" xfId="2282" xr:uid="{00000000-0005-0000-0000-00009C020000}"/>
    <cellStyle name="Euro 44 4 3" xfId="2281" xr:uid="{00000000-0005-0000-0000-00009D020000}"/>
    <cellStyle name="Euro 44 5" xfId="914" xr:uid="{00000000-0005-0000-0000-00009E020000}"/>
    <cellStyle name="Euro 45" xfId="446" xr:uid="{00000000-0005-0000-0000-00009F020000}"/>
    <cellStyle name="Euro 45 2" xfId="916" xr:uid="{00000000-0005-0000-0000-0000A0020000}"/>
    <cellStyle name="Euro 45 2 2" xfId="2284" xr:uid="{00000000-0005-0000-0000-0000A1020000}"/>
    <cellStyle name="Euro 45 2 3" xfId="3367" xr:uid="{00000000-0005-0000-0000-0000A2020000}"/>
    <cellStyle name="Euro 45 3" xfId="2283" xr:uid="{00000000-0005-0000-0000-0000A3020000}"/>
    <cellStyle name="Euro 45 4" xfId="915" xr:uid="{00000000-0005-0000-0000-0000A4020000}"/>
    <cellStyle name="Euro 45 5" xfId="3368" xr:uid="{00000000-0005-0000-0000-0000A5020000}"/>
    <cellStyle name="Euro 46" xfId="917" xr:uid="{00000000-0005-0000-0000-0000A6020000}"/>
    <cellStyle name="Euro 46 2" xfId="2285" xr:uid="{00000000-0005-0000-0000-0000A7020000}"/>
    <cellStyle name="Euro 47" xfId="918" xr:uid="{00000000-0005-0000-0000-0000A8020000}"/>
    <cellStyle name="Euro 47 2" xfId="919" xr:uid="{00000000-0005-0000-0000-0000A9020000}"/>
    <cellStyle name="Euro 47 2 2" xfId="3369" xr:uid="{00000000-0005-0000-0000-0000AA020000}"/>
    <cellStyle name="Euro 47 3" xfId="920" xr:uid="{00000000-0005-0000-0000-0000AB020000}"/>
    <cellStyle name="Euro 47 3 2" xfId="2287" xr:uid="{00000000-0005-0000-0000-0000AC020000}"/>
    <cellStyle name="Euro 47 4" xfId="2286" xr:uid="{00000000-0005-0000-0000-0000AD020000}"/>
    <cellStyle name="Euro 48" xfId="921" xr:uid="{00000000-0005-0000-0000-0000AE020000}"/>
    <cellStyle name="Euro 48 2" xfId="2288" xr:uid="{00000000-0005-0000-0000-0000AF020000}"/>
    <cellStyle name="Euro 49" xfId="922" xr:uid="{00000000-0005-0000-0000-0000B0020000}"/>
    <cellStyle name="Euro 49 2" xfId="923" xr:uid="{00000000-0005-0000-0000-0000B1020000}"/>
    <cellStyle name="Euro 49 2 2" xfId="2290" xr:uid="{00000000-0005-0000-0000-0000B2020000}"/>
    <cellStyle name="Euro 49 3" xfId="2289" xr:uid="{00000000-0005-0000-0000-0000B3020000}"/>
    <cellStyle name="Euro 5" xfId="80" xr:uid="{00000000-0005-0000-0000-0000B4020000}"/>
    <cellStyle name="Euro 5 2" xfId="485" xr:uid="{00000000-0005-0000-0000-0000B5020000}"/>
    <cellStyle name="Euro 5 2 2" xfId="2291" xr:uid="{00000000-0005-0000-0000-0000B6020000}"/>
    <cellStyle name="Euro 5 3" xfId="924" xr:uid="{00000000-0005-0000-0000-0000B7020000}"/>
    <cellStyle name="Euro 5 3 2" xfId="925" xr:uid="{00000000-0005-0000-0000-0000B8020000}"/>
    <cellStyle name="Euro 5 3 2 2" xfId="3370" xr:uid="{00000000-0005-0000-0000-0000B9020000}"/>
    <cellStyle name="Euro 5 3 3" xfId="926" xr:uid="{00000000-0005-0000-0000-0000BA020000}"/>
    <cellStyle name="Euro 5 3 3 2" xfId="2293" xr:uid="{00000000-0005-0000-0000-0000BB020000}"/>
    <cellStyle name="Euro 5 3 4" xfId="2292" xr:uid="{00000000-0005-0000-0000-0000BC020000}"/>
    <cellStyle name="Euro 5 4" xfId="927" xr:uid="{00000000-0005-0000-0000-0000BD020000}"/>
    <cellStyle name="Euro 5 4 2" xfId="928" xr:uid="{00000000-0005-0000-0000-0000BE020000}"/>
    <cellStyle name="Euro 5 4 2 2" xfId="2295" xr:uid="{00000000-0005-0000-0000-0000BF020000}"/>
    <cellStyle name="Euro 5 4 3" xfId="2294" xr:uid="{00000000-0005-0000-0000-0000C0020000}"/>
    <cellStyle name="Euro 5 5" xfId="929" xr:uid="{00000000-0005-0000-0000-0000C1020000}"/>
    <cellStyle name="Euro 50" xfId="930" xr:uid="{00000000-0005-0000-0000-0000C2020000}"/>
    <cellStyle name="Euro 51" xfId="931" xr:uid="{00000000-0005-0000-0000-0000C3020000}"/>
    <cellStyle name="Euro 51 2" xfId="2296" xr:uid="{00000000-0005-0000-0000-0000C4020000}"/>
    <cellStyle name="Euro 6" xfId="81" xr:uid="{00000000-0005-0000-0000-0000C5020000}"/>
    <cellStyle name="Euro 6 2" xfId="486" xr:uid="{00000000-0005-0000-0000-0000C6020000}"/>
    <cellStyle name="Euro 6 2 2" xfId="2297" xr:uid="{00000000-0005-0000-0000-0000C7020000}"/>
    <cellStyle name="Euro 6 3" xfId="932" xr:uid="{00000000-0005-0000-0000-0000C8020000}"/>
    <cellStyle name="Euro 6 3 2" xfId="933" xr:uid="{00000000-0005-0000-0000-0000C9020000}"/>
    <cellStyle name="Euro 6 3 2 2" xfId="3371" xr:uid="{00000000-0005-0000-0000-0000CA020000}"/>
    <cellStyle name="Euro 6 3 3" xfId="934" xr:uid="{00000000-0005-0000-0000-0000CB020000}"/>
    <cellStyle name="Euro 6 3 3 2" xfId="2299" xr:uid="{00000000-0005-0000-0000-0000CC020000}"/>
    <cellStyle name="Euro 6 3 4" xfId="2298" xr:uid="{00000000-0005-0000-0000-0000CD020000}"/>
    <cellStyle name="Euro 6 4" xfId="935" xr:uid="{00000000-0005-0000-0000-0000CE020000}"/>
    <cellStyle name="Euro 6 4 2" xfId="936" xr:uid="{00000000-0005-0000-0000-0000CF020000}"/>
    <cellStyle name="Euro 6 4 2 2" xfId="2301" xr:uid="{00000000-0005-0000-0000-0000D0020000}"/>
    <cellStyle name="Euro 6 4 3" xfId="2300" xr:uid="{00000000-0005-0000-0000-0000D1020000}"/>
    <cellStyle name="Euro 6 5" xfId="937" xr:uid="{00000000-0005-0000-0000-0000D2020000}"/>
    <cellStyle name="Euro 7" xfId="82" xr:uid="{00000000-0005-0000-0000-0000D3020000}"/>
    <cellStyle name="Euro 7 2" xfId="487" xr:uid="{00000000-0005-0000-0000-0000D4020000}"/>
    <cellStyle name="Euro 7 2 2" xfId="2302" xr:uid="{00000000-0005-0000-0000-0000D5020000}"/>
    <cellStyle name="Euro 7 3" xfId="938" xr:uid="{00000000-0005-0000-0000-0000D6020000}"/>
    <cellStyle name="Euro 7 3 2" xfId="939" xr:uid="{00000000-0005-0000-0000-0000D7020000}"/>
    <cellStyle name="Euro 7 3 2 2" xfId="3372" xr:uid="{00000000-0005-0000-0000-0000D8020000}"/>
    <cellStyle name="Euro 7 3 3" xfId="940" xr:uid="{00000000-0005-0000-0000-0000D9020000}"/>
    <cellStyle name="Euro 7 3 3 2" xfId="2304" xr:uid="{00000000-0005-0000-0000-0000DA020000}"/>
    <cellStyle name="Euro 7 3 4" xfId="2303" xr:uid="{00000000-0005-0000-0000-0000DB020000}"/>
    <cellStyle name="Euro 7 4" xfId="941" xr:uid="{00000000-0005-0000-0000-0000DC020000}"/>
    <cellStyle name="Euro 7 4 2" xfId="942" xr:uid="{00000000-0005-0000-0000-0000DD020000}"/>
    <cellStyle name="Euro 7 4 2 2" xfId="2306" xr:uid="{00000000-0005-0000-0000-0000DE020000}"/>
    <cellStyle name="Euro 7 4 3" xfId="2305" xr:uid="{00000000-0005-0000-0000-0000DF020000}"/>
    <cellStyle name="Euro 7 5" xfId="943" xr:uid="{00000000-0005-0000-0000-0000E0020000}"/>
    <cellStyle name="Euro 8" xfId="83" xr:uid="{00000000-0005-0000-0000-0000E1020000}"/>
    <cellStyle name="Euro 8 2" xfId="488" xr:uid="{00000000-0005-0000-0000-0000E2020000}"/>
    <cellStyle name="Euro 8 2 2" xfId="2307" xr:uid="{00000000-0005-0000-0000-0000E3020000}"/>
    <cellStyle name="Euro 8 3" xfId="944" xr:uid="{00000000-0005-0000-0000-0000E4020000}"/>
    <cellStyle name="Euro 8 3 2" xfId="945" xr:uid="{00000000-0005-0000-0000-0000E5020000}"/>
    <cellStyle name="Euro 8 3 2 2" xfId="3373" xr:uid="{00000000-0005-0000-0000-0000E6020000}"/>
    <cellStyle name="Euro 8 3 3" xfId="946" xr:uid="{00000000-0005-0000-0000-0000E7020000}"/>
    <cellStyle name="Euro 8 3 3 2" xfId="2309" xr:uid="{00000000-0005-0000-0000-0000E8020000}"/>
    <cellStyle name="Euro 8 3 4" xfId="2308" xr:uid="{00000000-0005-0000-0000-0000E9020000}"/>
    <cellStyle name="Euro 8 4" xfId="947" xr:uid="{00000000-0005-0000-0000-0000EA020000}"/>
    <cellStyle name="Euro 8 4 2" xfId="948" xr:uid="{00000000-0005-0000-0000-0000EB020000}"/>
    <cellStyle name="Euro 8 4 2 2" xfId="2311" xr:uid="{00000000-0005-0000-0000-0000EC020000}"/>
    <cellStyle name="Euro 8 4 3" xfId="2310" xr:uid="{00000000-0005-0000-0000-0000ED020000}"/>
    <cellStyle name="Euro 8 5" xfId="949" xr:uid="{00000000-0005-0000-0000-0000EE020000}"/>
    <cellStyle name="Euro 9" xfId="84" xr:uid="{00000000-0005-0000-0000-0000EF020000}"/>
    <cellStyle name="Euro 9 2" xfId="489" xr:uid="{00000000-0005-0000-0000-0000F0020000}"/>
    <cellStyle name="Euro 9 2 2" xfId="2312" xr:uid="{00000000-0005-0000-0000-0000F1020000}"/>
    <cellStyle name="Euro 9 3" xfId="950" xr:uid="{00000000-0005-0000-0000-0000F2020000}"/>
    <cellStyle name="Euro 9 3 2" xfId="951" xr:uid="{00000000-0005-0000-0000-0000F3020000}"/>
    <cellStyle name="Euro 9 3 2 2" xfId="3374" xr:uid="{00000000-0005-0000-0000-0000F4020000}"/>
    <cellStyle name="Euro 9 3 3" xfId="952" xr:uid="{00000000-0005-0000-0000-0000F5020000}"/>
    <cellStyle name="Euro 9 3 3 2" xfId="2314" xr:uid="{00000000-0005-0000-0000-0000F6020000}"/>
    <cellStyle name="Euro 9 3 4" xfId="2313" xr:uid="{00000000-0005-0000-0000-0000F7020000}"/>
    <cellStyle name="Euro 9 4" xfId="953" xr:uid="{00000000-0005-0000-0000-0000F8020000}"/>
    <cellStyle name="Euro 9 4 2" xfId="954" xr:uid="{00000000-0005-0000-0000-0000F9020000}"/>
    <cellStyle name="Euro 9 4 2 2" xfId="2316" xr:uid="{00000000-0005-0000-0000-0000FA020000}"/>
    <cellStyle name="Euro 9 4 3" xfId="2315" xr:uid="{00000000-0005-0000-0000-0000FB020000}"/>
    <cellStyle name="Euro 9 5" xfId="955" xr:uid="{00000000-0005-0000-0000-0000FC020000}"/>
    <cellStyle name="Fixed2 - Type2" xfId="8" xr:uid="{00000000-0005-0000-0000-0000FD020000}"/>
    <cellStyle name="Followed Hyperlink" xfId="4492" builtinId="9" hidden="1"/>
    <cellStyle name="Good 2" xfId="3375" xr:uid="{00000000-0005-0000-0000-0000FF020000}"/>
    <cellStyle name="Hyperlink" xfId="4491" builtinId="8" hidden="1"/>
    <cellStyle name="Hyperlink 2" xfId="956" xr:uid="{00000000-0005-0000-0000-000001030000}"/>
    <cellStyle name="Hyperlink 2 2" xfId="3376" xr:uid="{00000000-0005-0000-0000-000002030000}"/>
    <cellStyle name="Input 2" xfId="85" xr:uid="{00000000-0005-0000-0000-000003030000}"/>
    <cellStyle name="Input 2 2" xfId="3377" xr:uid="{00000000-0005-0000-0000-000004030000}"/>
    <cellStyle name="Input 2 2 2" xfId="3378" xr:uid="{00000000-0005-0000-0000-000005030000}"/>
    <cellStyle name="Input 2 3" xfId="3379" xr:uid="{00000000-0005-0000-0000-000006030000}"/>
    <cellStyle name="Input 3" xfId="957" xr:uid="{00000000-0005-0000-0000-000007030000}"/>
    <cellStyle name="Input 3 2" xfId="3380" xr:uid="{00000000-0005-0000-0000-000008030000}"/>
    <cellStyle name="Input 3 3" xfId="3381" xr:uid="{00000000-0005-0000-0000-000009030000}"/>
    <cellStyle name="InputCells" xfId="958" xr:uid="{00000000-0005-0000-0000-00000A030000}"/>
    <cellStyle name="Komma 2" xfId="441" xr:uid="{00000000-0005-0000-0000-00000B030000}"/>
    <cellStyle name="Komma 2 2" xfId="960" xr:uid="{00000000-0005-0000-0000-00000C030000}"/>
    <cellStyle name="Komma 2 3" xfId="959" xr:uid="{00000000-0005-0000-0000-00000D030000}"/>
    <cellStyle name="Komma 2 4" xfId="3382" xr:uid="{00000000-0005-0000-0000-00000E030000}"/>
    <cellStyle name="Komma 3" xfId="442" xr:uid="{00000000-0005-0000-0000-00000F030000}"/>
    <cellStyle name="Komma 3 2" xfId="962" xr:uid="{00000000-0005-0000-0000-000010030000}"/>
    <cellStyle name="Komma 3 3" xfId="961" xr:uid="{00000000-0005-0000-0000-000011030000}"/>
    <cellStyle name="Komma 4" xfId="963" xr:uid="{00000000-0005-0000-0000-000012030000}"/>
    <cellStyle name="Komma 4 2" xfId="2317" xr:uid="{00000000-0005-0000-0000-000013030000}"/>
    <cellStyle name="Komma 5" xfId="964" xr:uid="{00000000-0005-0000-0000-000014030000}"/>
    <cellStyle name="Komma 5 2" xfId="2318" xr:uid="{00000000-0005-0000-0000-000015030000}"/>
    <cellStyle name="Kontroller celle" xfId="3383" xr:uid="{00000000-0005-0000-0000-000016030000}"/>
    <cellStyle name="Link 2" xfId="965" xr:uid="{00000000-0005-0000-0000-000017030000}"/>
    <cellStyle name="Link 3" xfId="966" xr:uid="{00000000-0005-0000-0000-000018030000}"/>
    <cellStyle name="Markeringsfarve1" xfId="3384" xr:uid="{00000000-0005-0000-0000-000019030000}"/>
    <cellStyle name="Markeringsfarve2" xfId="3385" xr:uid="{00000000-0005-0000-0000-00001A030000}"/>
    <cellStyle name="Markeringsfarve3" xfId="3386" xr:uid="{00000000-0005-0000-0000-00001B030000}"/>
    <cellStyle name="Markeringsfarve4" xfId="3387" xr:uid="{00000000-0005-0000-0000-00001C030000}"/>
    <cellStyle name="Markeringsfarve5" xfId="3388" xr:uid="{00000000-0005-0000-0000-00001D030000}"/>
    <cellStyle name="Markeringsfarve6" xfId="3389" xr:uid="{00000000-0005-0000-0000-00001E030000}"/>
    <cellStyle name="Migliaia [0] 10" xfId="86" xr:uid="{00000000-0005-0000-0000-00001F030000}"/>
    <cellStyle name="Migliaia [0] 10 2" xfId="2017" xr:uid="{00000000-0005-0000-0000-000020030000}"/>
    <cellStyle name="Migliaia [0] 10 2 2" xfId="3390" xr:uid="{00000000-0005-0000-0000-000021030000}"/>
    <cellStyle name="Migliaia [0] 10 2 3" xfId="3391" xr:uid="{00000000-0005-0000-0000-000022030000}"/>
    <cellStyle name="Migliaia [0] 10 3" xfId="3392" xr:uid="{00000000-0005-0000-0000-000023030000}"/>
    <cellStyle name="Migliaia [0] 10 4" xfId="3393" xr:uid="{00000000-0005-0000-0000-000024030000}"/>
    <cellStyle name="Migliaia [0] 11" xfId="87" xr:uid="{00000000-0005-0000-0000-000025030000}"/>
    <cellStyle name="Migliaia [0] 11 2" xfId="2018" xr:uid="{00000000-0005-0000-0000-000026030000}"/>
    <cellStyle name="Migliaia [0] 11 2 2" xfId="3394" xr:uid="{00000000-0005-0000-0000-000027030000}"/>
    <cellStyle name="Migliaia [0] 11 2 3" xfId="3395" xr:uid="{00000000-0005-0000-0000-000028030000}"/>
    <cellStyle name="Migliaia [0] 11 3" xfId="3396" xr:uid="{00000000-0005-0000-0000-000029030000}"/>
    <cellStyle name="Migliaia [0] 11 4" xfId="3397" xr:uid="{00000000-0005-0000-0000-00002A030000}"/>
    <cellStyle name="Migliaia [0] 12" xfId="88" xr:uid="{00000000-0005-0000-0000-00002B030000}"/>
    <cellStyle name="Migliaia [0] 12 2" xfId="2019" xr:uid="{00000000-0005-0000-0000-00002C030000}"/>
    <cellStyle name="Migliaia [0] 12 2 2" xfId="3398" xr:uid="{00000000-0005-0000-0000-00002D030000}"/>
    <cellStyle name="Migliaia [0] 12 2 3" xfId="3399" xr:uid="{00000000-0005-0000-0000-00002E030000}"/>
    <cellStyle name="Migliaia [0] 12 3" xfId="3400" xr:uid="{00000000-0005-0000-0000-00002F030000}"/>
    <cellStyle name="Migliaia [0] 12 4" xfId="3401" xr:uid="{00000000-0005-0000-0000-000030030000}"/>
    <cellStyle name="Migliaia [0] 13" xfId="89" xr:uid="{00000000-0005-0000-0000-000031030000}"/>
    <cellStyle name="Migliaia [0] 13 2" xfId="2020" xr:uid="{00000000-0005-0000-0000-000032030000}"/>
    <cellStyle name="Migliaia [0] 13 2 2" xfId="3402" xr:uid="{00000000-0005-0000-0000-000033030000}"/>
    <cellStyle name="Migliaia [0] 13 2 3" xfId="3403" xr:uid="{00000000-0005-0000-0000-000034030000}"/>
    <cellStyle name="Migliaia [0] 13 3" xfId="3404" xr:uid="{00000000-0005-0000-0000-000035030000}"/>
    <cellStyle name="Migliaia [0] 13 4" xfId="3405" xr:uid="{00000000-0005-0000-0000-000036030000}"/>
    <cellStyle name="Migliaia [0] 14" xfId="90" xr:uid="{00000000-0005-0000-0000-000037030000}"/>
    <cellStyle name="Migliaia [0] 14 2" xfId="2021" xr:uid="{00000000-0005-0000-0000-000038030000}"/>
    <cellStyle name="Migliaia [0] 14 2 2" xfId="3406" xr:uid="{00000000-0005-0000-0000-000039030000}"/>
    <cellStyle name="Migliaia [0] 14 2 3" xfId="3407" xr:uid="{00000000-0005-0000-0000-00003A030000}"/>
    <cellStyle name="Migliaia [0] 14 3" xfId="3408" xr:uid="{00000000-0005-0000-0000-00003B030000}"/>
    <cellStyle name="Migliaia [0] 14 4" xfId="3409" xr:uid="{00000000-0005-0000-0000-00003C030000}"/>
    <cellStyle name="Migliaia [0] 15" xfId="91" xr:uid="{00000000-0005-0000-0000-00003D030000}"/>
    <cellStyle name="Migliaia [0] 15 2" xfId="2022" xr:uid="{00000000-0005-0000-0000-00003E030000}"/>
    <cellStyle name="Migliaia [0] 15 2 2" xfId="3410" xr:uid="{00000000-0005-0000-0000-00003F030000}"/>
    <cellStyle name="Migliaia [0] 15 2 3" xfId="3411" xr:uid="{00000000-0005-0000-0000-000040030000}"/>
    <cellStyle name="Migliaia [0] 15 3" xfId="3412" xr:uid="{00000000-0005-0000-0000-000041030000}"/>
    <cellStyle name="Migliaia [0] 15 4" xfId="3413" xr:uid="{00000000-0005-0000-0000-000042030000}"/>
    <cellStyle name="Migliaia [0] 16" xfId="92" xr:uid="{00000000-0005-0000-0000-000043030000}"/>
    <cellStyle name="Migliaia [0] 16 2" xfId="2023" xr:uid="{00000000-0005-0000-0000-000044030000}"/>
    <cellStyle name="Migliaia [0] 16 2 2" xfId="3414" xr:uid="{00000000-0005-0000-0000-000045030000}"/>
    <cellStyle name="Migliaia [0] 16 2 3" xfId="3415" xr:uid="{00000000-0005-0000-0000-000046030000}"/>
    <cellStyle name="Migliaia [0] 16 3" xfId="3416" xr:uid="{00000000-0005-0000-0000-000047030000}"/>
    <cellStyle name="Migliaia [0] 16 4" xfId="3417" xr:uid="{00000000-0005-0000-0000-000048030000}"/>
    <cellStyle name="Migliaia [0] 17" xfId="93" xr:uid="{00000000-0005-0000-0000-000049030000}"/>
    <cellStyle name="Migliaia [0] 17 2" xfId="2024" xr:uid="{00000000-0005-0000-0000-00004A030000}"/>
    <cellStyle name="Migliaia [0] 17 2 2" xfId="3418" xr:uid="{00000000-0005-0000-0000-00004B030000}"/>
    <cellStyle name="Migliaia [0] 17 2 3" xfId="3419" xr:uid="{00000000-0005-0000-0000-00004C030000}"/>
    <cellStyle name="Migliaia [0] 17 3" xfId="3420" xr:uid="{00000000-0005-0000-0000-00004D030000}"/>
    <cellStyle name="Migliaia [0] 17 4" xfId="3421" xr:uid="{00000000-0005-0000-0000-00004E030000}"/>
    <cellStyle name="Migliaia [0] 18" xfId="94" xr:uid="{00000000-0005-0000-0000-00004F030000}"/>
    <cellStyle name="Migliaia [0] 18 2" xfId="2025" xr:uid="{00000000-0005-0000-0000-000050030000}"/>
    <cellStyle name="Migliaia [0] 18 2 2" xfId="3422" xr:uid="{00000000-0005-0000-0000-000051030000}"/>
    <cellStyle name="Migliaia [0] 18 2 3" xfId="3423" xr:uid="{00000000-0005-0000-0000-000052030000}"/>
    <cellStyle name="Migliaia [0] 18 3" xfId="3424" xr:uid="{00000000-0005-0000-0000-000053030000}"/>
    <cellStyle name="Migliaia [0] 18 4" xfId="3425" xr:uid="{00000000-0005-0000-0000-000054030000}"/>
    <cellStyle name="Migliaia [0] 19" xfId="95" xr:uid="{00000000-0005-0000-0000-000055030000}"/>
    <cellStyle name="Migliaia [0] 19 2" xfId="2026" xr:uid="{00000000-0005-0000-0000-000056030000}"/>
    <cellStyle name="Migliaia [0] 19 2 2" xfId="3426" xr:uid="{00000000-0005-0000-0000-000057030000}"/>
    <cellStyle name="Migliaia [0] 19 2 3" xfId="3427" xr:uid="{00000000-0005-0000-0000-000058030000}"/>
    <cellStyle name="Migliaia [0] 19 3" xfId="3428" xr:uid="{00000000-0005-0000-0000-000059030000}"/>
    <cellStyle name="Migliaia [0] 19 4" xfId="3429" xr:uid="{00000000-0005-0000-0000-00005A030000}"/>
    <cellStyle name="Migliaia [0] 2" xfId="96" xr:uid="{00000000-0005-0000-0000-00005B030000}"/>
    <cellStyle name="Migliaia [0] 2 2" xfId="2027" xr:uid="{00000000-0005-0000-0000-00005C030000}"/>
    <cellStyle name="Migliaia [0] 2 2 2" xfId="3430" xr:uid="{00000000-0005-0000-0000-00005D030000}"/>
    <cellStyle name="Migliaia [0] 2 2 3" xfId="3431" xr:uid="{00000000-0005-0000-0000-00005E030000}"/>
    <cellStyle name="Migliaia [0] 2 3" xfId="3432" xr:uid="{00000000-0005-0000-0000-00005F030000}"/>
    <cellStyle name="Migliaia [0] 2 4" xfId="3433" xr:uid="{00000000-0005-0000-0000-000060030000}"/>
    <cellStyle name="Migliaia [0] 20" xfId="97" xr:uid="{00000000-0005-0000-0000-000061030000}"/>
    <cellStyle name="Migliaia [0] 20 2" xfId="2028" xr:uid="{00000000-0005-0000-0000-000062030000}"/>
    <cellStyle name="Migliaia [0] 20 2 2" xfId="3434" xr:uid="{00000000-0005-0000-0000-000063030000}"/>
    <cellStyle name="Migliaia [0] 20 2 3" xfId="3435" xr:uid="{00000000-0005-0000-0000-000064030000}"/>
    <cellStyle name="Migliaia [0] 20 3" xfId="3436" xr:uid="{00000000-0005-0000-0000-000065030000}"/>
    <cellStyle name="Migliaia [0] 20 4" xfId="3437" xr:uid="{00000000-0005-0000-0000-000066030000}"/>
    <cellStyle name="Migliaia [0] 21" xfId="98" xr:uid="{00000000-0005-0000-0000-000067030000}"/>
    <cellStyle name="Migliaia [0] 21 2" xfId="2029" xr:uid="{00000000-0005-0000-0000-000068030000}"/>
    <cellStyle name="Migliaia [0] 21 2 2" xfId="3438" xr:uid="{00000000-0005-0000-0000-000069030000}"/>
    <cellStyle name="Migliaia [0] 21 2 3" xfId="3439" xr:uid="{00000000-0005-0000-0000-00006A030000}"/>
    <cellStyle name="Migliaia [0] 21 3" xfId="3440" xr:uid="{00000000-0005-0000-0000-00006B030000}"/>
    <cellStyle name="Migliaia [0] 21 4" xfId="3441" xr:uid="{00000000-0005-0000-0000-00006C030000}"/>
    <cellStyle name="Migliaia [0] 22" xfId="99" xr:uid="{00000000-0005-0000-0000-00006D030000}"/>
    <cellStyle name="Migliaia [0] 22 2" xfId="2030" xr:uid="{00000000-0005-0000-0000-00006E030000}"/>
    <cellStyle name="Migliaia [0] 22 2 2" xfId="3442" xr:uid="{00000000-0005-0000-0000-00006F030000}"/>
    <cellStyle name="Migliaia [0] 22 2 3" xfId="3443" xr:uid="{00000000-0005-0000-0000-000070030000}"/>
    <cellStyle name="Migliaia [0] 22 3" xfId="3444" xr:uid="{00000000-0005-0000-0000-000071030000}"/>
    <cellStyle name="Migliaia [0] 22 4" xfId="3445" xr:uid="{00000000-0005-0000-0000-000072030000}"/>
    <cellStyle name="Migliaia [0] 23" xfId="100" xr:uid="{00000000-0005-0000-0000-000073030000}"/>
    <cellStyle name="Migliaia [0] 23 2" xfId="2031" xr:uid="{00000000-0005-0000-0000-000074030000}"/>
    <cellStyle name="Migliaia [0] 23 2 2" xfId="3446" xr:uid="{00000000-0005-0000-0000-000075030000}"/>
    <cellStyle name="Migliaia [0] 23 2 3" xfId="3447" xr:uid="{00000000-0005-0000-0000-000076030000}"/>
    <cellStyle name="Migliaia [0] 23 3" xfId="3448" xr:uid="{00000000-0005-0000-0000-000077030000}"/>
    <cellStyle name="Migliaia [0] 23 4" xfId="3449" xr:uid="{00000000-0005-0000-0000-000078030000}"/>
    <cellStyle name="Migliaia [0] 24" xfId="101" xr:uid="{00000000-0005-0000-0000-000079030000}"/>
    <cellStyle name="Migliaia [0] 24 2" xfId="2032" xr:uid="{00000000-0005-0000-0000-00007A030000}"/>
    <cellStyle name="Migliaia [0] 24 2 2" xfId="3450" xr:uid="{00000000-0005-0000-0000-00007B030000}"/>
    <cellStyle name="Migliaia [0] 24 2 3" xfId="3451" xr:uid="{00000000-0005-0000-0000-00007C030000}"/>
    <cellStyle name="Migliaia [0] 24 3" xfId="3452" xr:uid="{00000000-0005-0000-0000-00007D030000}"/>
    <cellStyle name="Migliaia [0] 24 4" xfId="3453" xr:uid="{00000000-0005-0000-0000-00007E030000}"/>
    <cellStyle name="Migliaia [0] 25" xfId="102" xr:uid="{00000000-0005-0000-0000-00007F030000}"/>
    <cellStyle name="Migliaia [0] 25 2" xfId="2033" xr:uid="{00000000-0005-0000-0000-000080030000}"/>
    <cellStyle name="Migliaia [0] 25 2 2" xfId="3454" xr:uid="{00000000-0005-0000-0000-000081030000}"/>
    <cellStyle name="Migliaia [0] 25 2 3" xfId="3455" xr:uid="{00000000-0005-0000-0000-000082030000}"/>
    <cellStyle name="Migliaia [0] 25 3" xfId="3456" xr:uid="{00000000-0005-0000-0000-000083030000}"/>
    <cellStyle name="Migliaia [0] 25 4" xfId="3457" xr:uid="{00000000-0005-0000-0000-000084030000}"/>
    <cellStyle name="Migliaia [0] 26" xfId="103" xr:uid="{00000000-0005-0000-0000-000085030000}"/>
    <cellStyle name="Migliaia [0] 26 2" xfId="2034" xr:uid="{00000000-0005-0000-0000-000086030000}"/>
    <cellStyle name="Migliaia [0] 26 2 2" xfId="3458" xr:uid="{00000000-0005-0000-0000-000087030000}"/>
    <cellStyle name="Migliaia [0] 26 2 3" xfId="3459" xr:uid="{00000000-0005-0000-0000-000088030000}"/>
    <cellStyle name="Migliaia [0] 26 3" xfId="3460" xr:uid="{00000000-0005-0000-0000-000089030000}"/>
    <cellStyle name="Migliaia [0] 26 4" xfId="3461" xr:uid="{00000000-0005-0000-0000-00008A030000}"/>
    <cellStyle name="Migliaia [0] 27" xfId="104" xr:uid="{00000000-0005-0000-0000-00008B030000}"/>
    <cellStyle name="Migliaia [0] 27 2" xfId="2035" xr:uid="{00000000-0005-0000-0000-00008C030000}"/>
    <cellStyle name="Migliaia [0] 27 2 2" xfId="3462" xr:uid="{00000000-0005-0000-0000-00008D030000}"/>
    <cellStyle name="Migliaia [0] 27 2 3" xfId="3463" xr:uid="{00000000-0005-0000-0000-00008E030000}"/>
    <cellStyle name="Migliaia [0] 27 3" xfId="3464" xr:uid="{00000000-0005-0000-0000-00008F030000}"/>
    <cellStyle name="Migliaia [0] 27 4" xfId="3465" xr:uid="{00000000-0005-0000-0000-000090030000}"/>
    <cellStyle name="Migliaia [0] 28" xfId="105" xr:uid="{00000000-0005-0000-0000-000091030000}"/>
    <cellStyle name="Migliaia [0] 28 2" xfId="2036" xr:uid="{00000000-0005-0000-0000-000092030000}"/>
    <cellStyle name="Migliaia [0] 28 2 2" xfId="3466" xr:uid="{00000000-0005-0000-0000-000093030000}"/>
    <cellStyle name="Migliaia [0] 28 2 3" xfId="3467" xr:uid="{00000000-0005-0000-0000-000094030000}"/>
    <cellStyle name="Migliaia [0] 28 3" xfId="3468" xr:uid="{00000000-0005-0000-0000-000095030000}"/>
    <cellStyle name="Migliaia [0] 28 4" xfId="3469" xr:uid="{00000000-0005-0000-0000-000096030000}"/>
    <cellStyle name="Migliaia [0] 29" xfId="106" xr:uid="{00000000-0005-0000-0000-000097030000}"/>
    <cellStyle name="Migliaia [0] 29 2" xfId="2037" xr:uid="{00000000-0005-0000-0000-000098030000}"/>
    <cellStyle name="Migliaia [0] 29 2 2" xfId="3470" xr:uid="{00000000-0005-0000-0000-000099030000}"/>
    <cellStyle name="Migliaia [0] 29 2 3" xfId="3471" xr:uid="{00000000-0005-0000-0000-00009A030000}"/>
    <cellStyle name="Migliaia [0] 29 3" xfId="3472" xr:uid="{00000000-0005-0000-0000-00009B030000}"/>
    <cellStyle name="Migliaia [0] 29 4" xfId="3473" xr:uid="{00000000-0005-0000-0000-00009C030000}"/>
    <cellStyle name="Migliaia [0] 3" xfId="107" xr:uid="{00000000-0005-0000-0000-00009D030000}"/>
    <cellStyle name="Migliaia [0] 3 2" xfId="2038" xr:uid="{00000000-0005-0000-0000-00009E030000}"/>
    <cellStyle name="Migliaia [0] 3 2 2" xfId="3474" xr:uid="{00000000-0005-0000-0000-00009F030000}"/>
    <cellStyle name="Migliaia [0] 3 2 3" xfId="3475" xr:uid="{00000000-0005-0000-0000-0000A0030000}"/>
    <cellStyle name="Migliaia [0] 3 3" xfId="3476" xr:uid="{00000000-0005-0000-0000-0000A1030000}"/>
    <cellStyle name="Migliaia [0] 3 4" xfId="3477" xr:uid="{00000000-0005-0000-0000-0000A2030000}"/>
    <cellStyle name="Migliaia [0] 30" xfId="108" xr:uid="{00000000-0005-0000-0000-0000A3030000}"/>
    <cellStyle name="Migliaia [0] 30 2" xfId="2039" xr:uid="{00000000-0005-0000-0000-0000A4030000}"/>
    <cellStyle name="Migliaia [0] 30 2 2" xfId="3478" xr:uid="{00000000-0005-0000-0000-0000A5030000}"/>
    <cellStyle name="Migliaia [0] 30 2 3" xfId="3479" xr:uid="{00000000-0005-0000-0000-0000A6030000}"/>
    <cellStyle name="Migliaia [0] 30 3" xfId="3480" xr:uid="{00000000-0005-0000-0000-0000A7030000}"/>
    <cellStyle name="Migliaia [0] 30 4" xfId="3481" xr:uid="{00000000-0005-0000-0000-0000A8030000}"/>
    <cellStyle name="Migliaia [0] 31" xfId="109" xr:uid="{00000000-0005-0000-0000-0000A9030000}"/>
    <cellStyle name="Migliaia [0] 31 2" xfId="2040" xr:uid="{00000000-0005-0000-0000-0000AA030000}"/>
    <cellStyle name="Migliaia [0] 31 2 2" xfId="3482" xr:uid="{00000000-0005-0000-0000-0000AB030000}"/>
    <cellStyle name="Migliaia [0] 31 2 3" xfId="3483" xr:uid="{00000000-0005-0000-0000-0000AC030000}"/>
    <cellStyle name="Migliaia [0] 31 3" xfId="3484" xr:uid="{00000000-0005-0000-0000-0000AD030000}"/>
    <cellStyle name="Migliaia [0] 31 4" xfId="3485" xr:uid="{00000000-0005-0000-0000-0000AE030000}"/>
    <cellStyle name="Migliaia [0] 32" xfId="110" xr:uid="{00000000-0005-0000-0000-0000AF030000}"/>
    <cellStyle name="Migliaia [0] 32 2" xfId="2041" xr:uid="{00000000-0005-0000-0000-0000B0030000}"/>
    <cellStyle name="Migliaia [0] 32 2 2" xfId="3486" xr:uid="{00000000-0005-0000-0000-0000B1030000}"/>
    <cellStyle name="Migliaia [0] 32 2 3" xfId="3487" xr:uid="{00000000-0005-0000-0000-0000B2030000}"/>
    <cellStyle name="Migliaia [0] 32 3" xfId="3488" xr:uid="{00000000-0005-0000-0000-0000B3030000}"/>
    <cellStyle name="Migliaia [0] 32 4" xfId="3489" xr:uid="{00000000-0005-0000-0000-0000B4030000}"/>
    <cellStyle name="Migliaia [0] 33" xfId="111" xr:uid="{00000000-0005-0000-0000-0000B5030000}"/>
    <cellStyle name="Migliaia [0] 33 2" xfId="2042" xr:uid="{00000000-0005-0000-0000-0000B6030000}"/>
    <cellStyle name="Migliaia [0] 33 2 2" xfId="3490" xr:uid="{00000000-0005-0000-0000-0000B7030000}"/>
    <cellStyle name="Migliaia [0] 33 2 3" xfId="3491" xr:uid="{00000000-0005-0000-0000-0000B8030000}"/>
    <cellStyle name="Migliaia [0] 33 3" xfId="3492" xr:uid="{00000000-0005-0000-0000-0000B9030000}"/>
    <cellStyle name="Migliaia [0] 33 4" xfId="3493" xr:uid="{00000000-0005-0000-0000-0000BA030000}"/>
    <cellStyle name="Migliaia [0] 34" xfId="112" xr:uid="{00000000-0005-0000-0000-0000BB030000}"/>
    <cellStyle name="Migliaia [0] 34 2" xfId="2043" xr:uid="{00000000-0005-0000-0000-0000BC030000}"/>
    <cellStyle name="Migliaia [0] 34 2 2" xfId="3494" xr:uid="{00000000-0005-0000-0000-0000BD030000}"/>
    <cellStyle name="Migliaia [0] 34 2 3" xfId="3495" xr:uid="{00000000-0005-0000-0000-0000BE030000}"/>
    <cellStyle name="Migliaia [0] 34 3" xfId="3496" xr:uid="{00000000-0005-0000-0000-0000BF030000}"/>
    <cellStyle name="Migliaia [0] 34 4" xfId="3497" xr:uid="{00000000-0005-0000-0000-0000C0030000}"/>
    <cellStyle name="Migliaia [0] 35" xfId="113" xr:uid="{00000000-0005-0000-0000-0000C1030000}"/>
    <cellStyle name="Migliaia [0] 35 2" xfId="2044" xr:uid="{00000000-0005-0000-0000-0000C2030000}"/>
    <cellStyle name="Migliaia [0] 35 2 2" xfId="3498" xr:uid="{00000000-0005-0000-0000-0000C3030000}"/>
    <cellStyle name="Migliaia [0] 35 2 3" xfId="3499" xr:uid="{00000000-0005-0000-0000-0000C4030000}"/>
    <cellStyle name="Migliaia [0] 35 3" xfId="3500" xr:uid="{00000000-0005-0000-0000-0000C5030000}"/>
    <cellStyle name="Migliaia [0] 35 4" xfId="3501" xr:uid="{00000000-0005-0000-0000-0000C6030000}"/>
    <cellStyle name="Migliaia [0] 36" xfId="114" xr:uid="{00000000-0005-0000-0000-0000C7030000}"/>
    <cellStyle name="Migliaia [0] 36 2" xfId="2045" xr:uid="{00000000-0005-0000-0000-0000C8030000}"/>
    <cellStyle name="Migliaia [0] 36 2 2" xfId="3502" xr:uid="{00000000-0005-0000-0000-0000C9030000}"/>
    <cellStyle name="Migliaia [0] 36 2 3" xfId="3503" xr:uid="{00000000-0005-0000-0000-0000CA030000}"/>
    <cellStyle name="Migliaia [0] 36 3" xfId="3504" xr:uid="{00000000-0005-0000-0000-0000CB030000}"/>
    <cellStyle name="Migliaia [0] 36 4" xfId="3505" xr:uid="{00000000-0005-0000-0000-0000CC030000}"/>
    <cellStyle name="Migliaia [0] 37" xfId="115" xr:uid="{00000000-0005-0000-0000-0000CD030000}"/>
    <cellStyle name="Migliaia [0] 37 2" xfId="2046" xr:uid="{00000000-0005-0000-0000-0000CE030000}"/>
    <cellStyle name="Migliaia [0] 37 2 2" xfId="3506" xr:uid="{00000000-0005-0000-0000-0000CF030000}"/>
    <cellStyle name="Migliaia [0] 37 2 3" xfId="3507" xr:uid="{00000000-0005-0000-0000-0000D0030000}"/>
    <cellStyle name="Migliaia [0] 37 3" xfId="3508" xr:uid="{00000000-0005-0000-0000-0000D1030000}"/>
    <cellStyle name="Migliaia [0] 37 4" xfId="3509" xr:uid="{00000000-0005-0000-0000-0000D2030000}"/>
    <cellStyle name="Migliaia [0] 38" xfId="116" xr:uid="{00000000-0005-0000-0000-0000D3030000}"/>
    <cellStyle name="Migliaia [0] 38 2" xfId="2047" xr:uid="{00000000-0005-0000-0000-0000D4030000}"/>
    <cellStyle name="Migliaia [0] 38 2 2" xfId="3510" xr:uid="{00000000-0005-0000-0000-0000D5030000}"/>
    <cellStyle name="Migliaia [0] 38 2 3" xfId="3511" xr:uid="{00000000-0005-0000-0000-0000D6030000}"/>
    <cellStyle name="Migliaia [0] 38 3" xfId="3512" xr:uid="{00000000-0005-0000-0000-0000D7030000}"/>
    <cellStyle name="Migliaia [0] 38 4" xfId="3513" xr:uid="{00000000-0005-0000-0000-0000D8030000}"/>
    <cellStyle name="Migliaia [0] 39" xfId="117" xr:uid="{00000000-0005-0000-0000-0000D9030000}"/>
    <cellStyle name="Migliaia [0] 39 2" xfId="2048" xr:uid="{00000000-0005-0000-0000-0000DA030000}"/>
    <cellStyle name="Migliaia [0] 39 2 2" xfId="3514" xr:uid="{00000000-0005-0000-0000-0000DB030000}"/>
    <cellStyle name="Migliaia [0] 39 2 3" xfId="3515" xr:uid="{00000000-0005-0000-0000-0000DC030000}"/>
    <cellStyle name="Migliaia [0] 39 3" xfId="3516" xr:uid="{00000000-0005-0000-0000-0000DD030000}"/>
    <cellStyle name="Migliaia [0] 39 4" xfId="3517" xr:uid="{00000000-0005-0000-0000-0000DE030000}"/>
    <cellStyle name="Migliaia [0] 4" xfId="118" xr:uid="{00000000-0005-0000-0000-0000DF030000}"/>
    <cellStyle name="Migliaia [0] 4 2" xfId="2049" xr:uid="{00000000-0005-0000-0000-0000E0030000}"/>
    <cellStyle name="Migliaia [0] 4 2 2" xfId="3518" xr:uid="{00000000-0005-0000-0000-0000E1030000}"/>
    <cellStyle name="Migliaia [0] 4 2 3" xfId="3519" xr:uid="{00000000-0005-0000-0000-0000E2030000}"/>
    <cellStyle name="Migliaia [0] 4 3" xfId="3520" xr:uid="{00000000-0005-0000-0000-0000E3030000}"/>
    <cellStyle name="Migliaia [0] 4 4" xfId="3521" xr:uid="{00000000-0005-0000-0000-0000E4030000}"/>
    <cellStyle name="Migliaia [0] 40" xfId="119" xr:uid="{00000000-0005-0000-0000-0000E5030000}"/>
    <cellStyle name="Migliaia [0] 40 2" xfId="2050" xr:uid="{00000000-0005-0000-0000-0000E6030000}"/>
    <cellStyle name="Migliaia [0] 40 2 2" xfId="3522" xr:uid="{00000000-0005-0000-0000-0000E7030000}"/>
    <cellStyle name="Migliaia [0] 40 2 3" xfId="3523" xr:uid="{00000000-0005-0000-0000-0000E8030000}"/>
    <cellStyle name="Migliaia [0] 40 3" xfId="3524" xr:uid="{00000000-0005-0000-0000-0000E9030000}"/>
    <cellStyle name="Migliaia [0] 40 4" xfId="3525" xr:uid="{00000000-0005-0000-0000-0000EA030000}"/>
    <cellStyle name="Migliaia [0] 41" xfId="120" xr:uid="{00000000-0005-0000-0000-0000EB030000}"/>
    <cellStyle name="Migliaia [0] 41 2" xfId="2051" xr:uid="{00000000-0005-0000-0000-0000EC030000}"/>
    <cellStyle name="Migliaia [0] 41 2 2" xfId="3526" xr:uid="{00000000-0005-0000-0000-0000ED030000}"/>
    <cellStyle name="Migliaia [0] 41 2 3" xfId="3527" xr:uid="{00000000-0005-0000-0000-0000EE030000}"/>
    <cellStyle name="Migliaia [0] 41 3" xfId="3528" xr:uid="{00000000-0005-0000-0000-0000EF030000}"/>
    <cellStyle name="Migliaia [0] 41 4" xfId="3529" xr:uid="{00000000-0005-0000-0000-0000F0030000}"/>
    <cellStyle name="Migliaia [0] 42" xfId="121" xr:uid="{00000000-0005-0000-0000-0000F1030000}"/>
    <cellStyle name="Migliaia [0] 42 2" xfId="2052" xr:uid="{00000000-0005-0000-0000-0000F2030000}"/>
    <cellStyle name="Migliaia [0] 42 2 2" xfId="3530" xr:uid="{00000000-0005-0000-0000-0000F3030000}"/>
    <cellStyle name="Migliaia [0] 42 2 3" xfId="3531" xr:uid="{00000000-0005-0000-0000-0000F4030000}"/>
    <cellStyle name="Migliaia [0] 42 3" xfId="3532" xr:uid="{00000000-0005-0000-0000-0000F5030000}"/>
    <cellStyle name="Migliaia [0] 42 4" xfId="3533" xr:uid="{00000000-0005-0000-0000-0000F6030000}"/>
    <cellStyle name="Migliaia [0] 43" xfId="122" xr:uid="{00000000-0005-0000-0000-0000F7030000}"/>
    <cellStyle name="Migliaia [0] 43 2" xfId="2053" xr:uid="{00000000-0005-0000-0000-0000F8030000}"/>
    <cellStyle name="Migliaia [0] 43 2 2" xfId="3534" xr:uid="{00000000-0005-0000-0000-0000F9030000}"/>
    <cellStyle name="Migliaia [0] 43 2 3" xfId="3535" xr:uid="{00000000-0005-0000-0000-0000FA030000}"/>
    <cellStyle name="Migliaia [0] 43 3" xfId="3536" xr:uid="{00000000-0005-0000-0000-0000FB030000}"/>
    <cellStyle name="Migliaia [0] 43 4" xfId="3537" xr:uid="{00000000-0005-0000-0000-0000FC030000}"/>
    <cellStyle name="Migliaia [0] 44" xfId="123" xr:uid="{00000000-0005-0000-0000-0000FD030000}"/>
    <cellStyle name="Migliaia [0] 44 2" xfId="2054" xr:uid="{00000000-0005-0000-0000-0000FE030000}"/>
    <cellStyle name="Migliaia [0] 44 2 2" xfId="3538" xr:uid="{00000000-0005-0000-0000-0000FF030000}"/>
    <cellStyle name="Migliaia [0] 44 2 3" xfId="3539" xr:uid="{00000000-0005-0000-0000-000000040000}"/>
    <cellStyle name="Migliaia [0] 44 3" xfId="3540" xr:uid="{00000000-0005-0000-0000-000001040000}"/>
    <cellStyle name="Migliaia [0] 44 4" xfId="3541" xr:uid="{00000000-0005-0000-0000-000002040000}"/>
    <cellStyle name="Migliaia [0] 45" xfId="124" xr:uid="{00000000-0005-0000-0000-000003040000}"/>
    <cellStyle name="Migliaia [0] 45 2" xfId="2055" xr:uid="{00000000-0005-0000-0000-000004040000}"/>
    <cellStyle name="Migliaia [0] 45 2 2" xfId="3542" xr:uid="{00000000-0005-0000-0000-000005040000}"/>
    <cellStyle name="Migliaia [0] 45 2 3" xfId="3543" xr:uid="{00000000-0005-0000-0000-000006040000}"/>
    <cellStyle name="Migliaia [0] 45 3" xfId="3544" xr:uid="{00000000-0005-0000-0000-000007040000}"/>
    <cellStyle name="Migliaia [0] 45 4" xfId="3545" xr:uid="{00000000-0005-0000-0000-000008040000}"/>
    <cellStyle name="Migliaia [0] 46" xfId="125" xr:uid="{00000000-0005-0000-0000-000009040000}"/>
    <cellStyle name="Migliaia [0] 46 2" xfId="2056" xr:uid="{00000000-0005-0000-0000-00000A040000}"/>
    <cellStyle name="Migliaia [0] 46 2 2" xfId="3546" xr:uid="{00000000-0005-0000-0000-00000B040000}"/>
    <cellStyle name="Migliaia [0] 46 2 3" xfId="3547" xr:uid="{00000000-0005-0000-0000-00000C040000}"/>
    <cellStyle name="Migliaia [0] 46 3" xfId="3548" xr:uid="{00000000-0005-0000-0000-00000D040000}"/>
    <cellStyle name="Migliaia [0] 46 4" xfId="3549" xr:uid="{00000000-0005-0000-0000-00000E040000}"/>
    <cellStyle name="Migliaia [0] 47" xfId="126" xr:uid="{00000000-0005-0000-0000-00000F040000}"/>
    <cellStyle name="Migliaia [0] 47 2" xfId="2057" xr:uid="{00000000-0005-0000-0000-000010040000}"/>
    <cellStyle name="Migliaia [0] 47 2 2" xfId="3550" xr:uid="{00000000-0005-0000-0000-000011040000}"/>
    <cellStyle name="Migliaia [0] 47 2 3" xfId="3551" xr:uid="{00000000-0005-0000-0000-000012040000}"/>
    <cellStyle name="Migliaia [0] 47 3" xfId="3552" xr:uid="{00000000-0005-0000-0000-000013040000}"/>
    <cellStyle name="Migliaia [0] 47 4" xfId="3553" xr:uid="{00000000-0005-0000-0000-000014040000}"/>
    <cellStyle name="Migliaia [0] 48" xfId="127" xr:uid="{00000000-0005-0000-0000-000015040000}"/>
    <cellStyle name="Migliaia [0] 48 2" xfId="2058" xr:uid="{00000000-0005-0000-0000-000016040000}"/>
    <cellStyle name="Migliaia [0] 48 2 2" xfId="3554" xr:uid="{00000000-0005-0000-0000-000017040000}"/>
    <cellStyle name="Migliaia [0] 48 2 3" xfId="3555" xr:uid="{00000000-0005-0000-0000-000018040000}"/>
    <cellStyle name="Migliaia [0] 48 3" xfId="3556" xr:uid="{00000000-0005-0000-0000-000019040000}"/>
    <cellStyle name="Migliaia [0] 48 4" xfId="3557" xr:uid="{00000000-0005-0000-0000-00001A040000}"/>
    <cellStyle name="Migliaia [0] 49" xfId="128" xr:uid="{00000000-0005-0000-0000-00001B040000}"/>
    <cellStyle name="Migliaia [0] 49 2" xfId="2059" xr:uid="{00000000-0005-0000-0000-00001C040000}"/>
    <cellStyle name="Migliaia [0] 49 2 2" xfId="3558" xr:uid="{00000000-0005-0000-0000-00001D040000}"/>
    <cellStyle name="Migliaia [0] 49 2 3" xfId="3559" xr:uid="{00000000-0005-0000-0000-00001E040000}"/>
    <cellStyle name="Migliaia [0] 49 3" xfId="3560" xr:uid="{00000000-0005-0000-0000-00001F040000}"/>
    <cellStyle name="Migliaia [0] 49 4" xfId="3561" xr:uid="{00000000-0005-0000-0000-000020040000}"/>
    <cellStyle name="Migliaia [0] 5" xfId="129" xr:uid="{00000000-0005-0000-0000-000021040000}"/>
    <cellStyle name="Migliaia [0] 5 2" xfId="2060" xr:uid="{00000000-0005-0000-0000-000022040000}"/>
    <cellStyle name="Migliaia [0] 5 2 2" xfId="3562" xr:uid="{00000000-0005-0000-0000-000023040000}"/>
    <cellStyle name="Migliaia [0] 5 2 3" xfId="3563" xr:uid="{00000000-0005-0000-0000-000024040000}"/>
    <cellStyle name="Migliaia [0] 5 3" xfId="3564" xr:uid="{00000000-0005-0000-0000-000025040000}"/>
    <cellStyle name="Migliaia [0] 5 4" xfId="3565" xr:uid="{00000000-0005-0000-0000-000026040000}"/>
    <cellStyle name="Migliaia [0] 50" xfId="130" xr:uid="{00000000-0005-0000-0000-000027040000}"/>
    <cellStyle name="Migliaia [0] 50 2" xfId="2061" xr:uid="{00000000-0005-0000-0000-000028040000}"/>
    <cellStyle name="Migliaia [0] 50 2 2" xfId="3566" xr:uid="{00000000-0005-0000-0000-000029040000}"/>
    <cellStyle name="Migliaia [0] 50 2 3" xfId="3567" xr:uid="{00000000-0005-0000-0000-00002A040000}"/>
    <cellStyle name="Migliaia [0] 50 3" xfId="3568" xr:uid="{00000000-0005-0000-0000-00002B040000}"/>
    <cellStyle name="Migliaia [0] 50 4" xfId="3569" xr:uid="{00000000-0005-0000-0000-00002C040000}"/>
    <cellStyle name="Migliaia [0] 51" xfId="131" xr:uid="{00000000-0005-0000-0000-00002D040000}"/>
    <cellStyle name="Migliaia [0] 51 2" xfId="2062" xr:uid="{00000000-0005-0000-0000-00002E040000}"/>
    <cellStyle name="Migliaia [0] 51 2 2" xfId="3570" xr:uid="{00000000-0005-0000-0000-00002F040000}"/>
    <cellStyle name="Migliaia [0] 51 2 3" xfId="3571" xr:uid="{00000000-0005-0000-0000-000030040000}"/>
    <cellStyle name="Migliaia [0] 51 3" xfId="3572" xr:uid="{00000000-0005-0000-0000-000031040000}"/>
    <cellStyle name="Migliaia [0] 51 4" xfId="3573" xr:uid="{00000000-0005-0000-0000-000032040000}"/>
    <cellStyle name="Migliaia [0] 52" xfId="132" xr:uid="{00000000-0005-0000-0000-000033040000}"/>
    <cellStyle name="Migliaia [0] 52 2" xfId="2063" xr:uid="{00000000-0005-0000-0000-000034040000}"/>
    <cellStyle name="Migliaia [0] 52 2 2" xfId="3574" xr:uid="{00000000-0005-0000-0000-000035040000}"/>
    <cellStyle name="Migliaia [0] 52 2 3" xfId="3575" xr:uid="{00000000-0005-0000-0000-000036040000}"/>
    <cellStyle name="Migliaia [0] 52 3" xfId="3576" xr:uid="{00000000-0005-0000-0000-000037040000}"/>
    <cellStyle name="Migliaia [0] 52 4" xfId="3577" xr:uid="{00000000-0005-0000-0000-000038040000}"/>
    <cellStyle name="Migliaia [0] 53" xfId="133" xr:uid="{00000000-0005-0000-0000-000039040000}"/>
    <cellStyle name="Migliaia [0] 53 2" xfId="2064" xr:uid="{00000000-0005-0000-0000-00003A040000}"/>
    <cellStyle name="Migliaia [0] 53 2 2" xfId="3578" xr:uid="{00000000-0005-0000-0000-00003B040000}"/>
    <cellStyle name="Migliaia [0] 53 2 3" xfId="3579" xr:uid="{00000000-0005-0000-0000-00003C040000}"/>
    <cellStyle name="Migliaia [0] 53 3" xfId="3580" xr:uid="{00000000-0005-0000-0000-00003D040000}"/>
    <cellStyle name="Migliaia [0] 53 4" xfId="3581" xr:uid="{00000000-0005-0000-0000-00003E040000}"/>
    <cellStyle name="Migliaia [0] 54" xfId="134" xr:uid="{00000000-0005-0000-0000-00003F040000}"/>
    <cellStyle name="Migliaia [0] 54 2" xfId="2065" xr:uid="{00000000-0005-0000-0000-000040040000}"/>
    <cellStyle name="Migliaia [0] 54 2 2" xfId="3582" xr:uid="{00000000-0005-0000-0000-000041040000}"/>
    <cellStyle name="Migliaia [0] 54 2 3" xfId="3583" xr:uid="{00000000-0005-0000-0000-000042040000}"/>
    <cellStyle name="Migliaia [0] 54 3" xfId="3584" xr:uid="{00000000-0005-0000-0000-000043040000}"/>
    <cellStyle name="Migliaia [0] 54 4" xfId="3585" xr:uid="{00000000-0005-0000-0000-000044040000}"/>
    <cellStyle name="Migliaia [0] 55" xfId="135" xr:uid="{00000000-0005-0000-0000-000045040000}"/>
    <cellStyle name="Migliaia [0] 55 2" xfId="2066" xr:uid="{00000000-0005-0000-0000-000046040000}"/>
    <cellStyle name="Migliaia [0] 55 2 2" xfId="3586" xr:uid="{00000000-0005-0000-0000-000047040000}"/>
    <cellStyle name="Migliaia [0] 55 2 3" xfId="3587" xr:uid="{00000000-0005-0000-0000-000048040000}"/>
    <cellStyle name="Migliaia [0] 55 3" xfId="3588" xr:uid="{00000000-0005-0000-0000-000049040000}"/>
    <cellStyle name="Migliaia [0] 55 4" xfId="3589" xr:uid="{00000000-0005-0000-0000-00004A040000}"/>
    <cellStyle name="Migliaia [0] 56" xfId="136" xr:uid="{00000000-0005-0000-0000-00004B040000}"/>
    <cellStyle name="Migliaia [0] 56 2" xfId="2067" xr:uid="{00000000-0005-0000-0000-00004C040000}"/>
    <cellStyle name="Migliaia [0] 56 2 2" xfId="3590" xr:uid="{00000000-0005-0000-0000-00004D040000}"/>
    <cellStyle name="Migliaia [0] 56 2 3" xfId="3591" xr:uid="{00000000-0005-0000-0000-00004E040000}"/>
    <cellStyle name="Migliaia [0] 56 3" xfId="3592" xr:uid="{00000000-0005-0000-0000-00004F040000}"/>
    <cellStyle name="Migliaia [0] 56 4" xfId="3593" xr:uid="{00000000-0005-0000-0000-000050040000}"/>
    <cellStyle name="Migliaia [0] 57" xfId="137" xr:uid="{00000000-0005-0000-0000-000051040000}"/>
    <cellStyle name="Migliaia [0] 57 2" xfId="2068" xr:uid="{00000000-0005-0000-0000-000052040000}"/>
    <cellStyle name="Migliaia [0] 57 2 2" xfId="3594" xr:uid="{00000000-0005-0000-0000-000053040000}"/>
    <cellStyle name="Migliaia [0] 57 2 3" xfId="3595" xr:uid="{00000000-0005-0000-0000-000054040000}"/>
    <cellStyle name="Migliaia [0] 57 3" xfId="3596" xr:uid="{00000000-0005-0000-0000-000055040000}"/>
    <cellStyle name="Migliaia [0] 57 4" xfId="3597" xr:uid="{00000000-0005-0000-0000-000056040000}"/>
    <cellStyle name="Migliaia [0] 58" xfId="138" xr:uid="{00000000-0005-0000-0000-000057040000}"/>
    <cellStyle name="Migliaia [0] 58 2" xfId="2069" xr:uid="{00000000-0005-0000-0000-000058040000}"/>
    <cellStyle name="Migliaia [0] 58 2 2" xfId="3598" xr:uid="{00000000-0005-0000-0000-000059040000}"/>
    <cellStyle name="Migliaia [0] 58 2 3" xfId="3599" xr:uid="{00000000-0005-0000-0000-00005A040000}"/>
    <cellStyle name="Migliaia [0] 58 3" xfId="3600" xr:uid="{00000000-0005-0000-0000-00005B040000}"/>
    <cellStyle name="Migliaia [0] 58 4" xfId="3601" xr:uid="{00000000-0005-0000-0000-00005C040000}"/>
    <cellStyle name="Migliaia [0] 59" xfId="139" xr:uid="{00000000-0005-0000-0000-00005D040000}"/>
    <cellStyle name="Migliaia [0] 59 2" xfId="2070" xr:uid="{00000000-0005-0000-0000-00005E040000}"/>
    <cellStyle name="Migliaia [0] 59 2 2" xfId="3602" xr:uid="{00000000-0005-0000-0000-00005F040000}"/>
    <cellStyle name="Migliaia [0] 59 2 3" xfId="3603" xr:uid="{00000000-0005-0000-0000-000060040000}"/>
    <cellStyle name="Migliaia [0] 59 3" xfId="3604" xr:uid="{00000000-0005-0000-0000-000061040000}"/>
    <cellStyle name="Migliaia [0] 59 4" xfId="3605" xr:uid="{00000000-0005-0000-0000-000062040000}"/>
    <cellStyle name="Migliaia [0] 6" xfId="140" xr:uid="{00000000-0005-0000-0000-000063040000}"/>
    <cellStyle name="Migliaia [0] 6 2" xfId="2071" xr:uid="{00000000-0005-0000-0000-000064040000}"/>
    <cellStyle name="Migliaia [0] 6 2 2" xfId="3606" xr:uid="{00000000-0005-0000-0000-000065040000}"/>
    <cellStyle name="Migliaia [0] 6 2 3" xfId="3607" xr:uid="{00000000-0005-0000-0000-000066040000}"/>
    <cellStyle name="Migliaia [0] 6 3" xfId="3608" xr:uid="{00000000-0005-0000-0000-000067040000}"/>
    <cellStyle name="Migliaia [0] 6 4" xfId="3609" xr:uid="{00000000-0005-0000-0000-000068040000}"/>
    <cellStyle name="Migliaia [0] 7" xfId="141" xr:uid="{00000000-0005-0000-0000-000069040000}"/>
    <cellStyle name="Migliaia [0] 7 2" xfId="2072" xr:uid="{00000000-0005-0000-0000-00006A040000}"/>
    <cellStyle name="Migliaia [0] 7 2 2" xfId="3610" xr:uid="{00000000-0005-0000-0000-00006B040000}"/>
    <cellStyle name="Migliaia [0] 7 2 3" xfId="3611" xr:uid="{00000000-0005-0000-0000-00006C040000}"/>
    <cellStyle name="Migliaia [0] 7 3" xfId="3612" xr:uid="{00000000-0005-0000-0000-00006D040000}"/>
    <cellStyle name="Migliaia [0] 7 4" xfId="3613" xr:uid="{00000000-0005-0000-0000-00006E040000}"/>
    <cellStyle name="Migliaia [0] 8" xfId="142" xr:uid="{00000000-0005-0000-0000-00006F040000}"/>
    <cellStyle name="Migliaia [0] 8 2" xfId="2073" xr:uid="{00000000-0005-0000-0000-000070040000}"/>
    <cellStyle name="Migliaia [0] 8 2 2" xfId="3614" xr:uid="{00000000-0005-0000-0000-000071040000}"/>
    <cellStyle name="Migliaia [0] 8 2 3" xfId="3615" xr:uid="{00000000-0005-0000-0000-000072040000}"/>
    <cellStyle name="Migliaia [0] 8 3" xfId="3616" xr:uid="{00000000-0005-0000-0000-000073040000}"/>
    <cellStyle name="Migliaia [0] 8 4" xfId="3617" xr:uid="{00000000-0005-0000-0000-000074040000}"/>
    <cellStyle name="Migliaia [0] 9" xfId="143" xr:uid="{00000000-0005-0000-0000-000075040000}"/>
    <cellStyle name="Migliaia [0] 9 2" xfId="2074" xr:uid="{00000000-0005-0000-0000-000076040000}"/>
    <cellStyle name="Migliaia [0] 9 2 2" xfId="3618" xr:uid="{00000000-0005-0000-0000-000077040000}"/>
    <cellStyle name="Migliaia [0] 9 2 3" xfId="3619" xr:uid="{00000000-0005-0000-0000-000078040000}"/>
    <cellStyle name="Migliaia [0] 9 3" xfId="3620" xr:uid="{00000000-0005-0000-0000-000079040000}"/>
    <cellStyle name="Migliaia [0] 9 4" xfId="3621" xr:uid="{00000000-0005-0000-0000-00007A040000}"/>
    <cellStyle name="Migliaia 10" xfId="144" xr:uid="{00000000-0005-0000-0000-00007B040000}"/>
    <cellStyle name="Migliaia 10 2" xfId="490" xr:uid="{00000000-0005-0000-0000-00007C040000}"/>
    <cellStyle name="Migliaia 10 2 2" xfId="2319" xr:uid="{00000000-0005-0000-0000-00007D040000}"/>
    <cellStyle name="Migliaia 10 2 2 2" xfId="3622" xr:uid="{00000000-0005-0000-0000-00007E040000}"/>
    <cellStyle name="Migliaia 10 2 3" xfId="3623" xr:uid="{00000000-0005-0000-0000-00007F040000}"/>
    <cellStyle name="Migliaia 10 3" xfId="967" xr:uid="{00000000-0005-0000-0000-000080040000}"/>
    <cellStyle name="Migliaia 10 3 2" xfId="968" xr:uid="{00000000-0005-0000-0000-000081040000}"/>
    <cellStyle name="Migliaia 10 3 2 2" xfId="3624" xr:uid="{00000000-0005-0000-0000-000082040000}"/>
    <cellStyle name="Migliaia 10 3 2 3" xfId="3625" xr:uid="{00000000-0005-0000-0000-000083040000}"/>
    <cellStyle name="Migliaia 10 3 3" xfId="969" xr:uid="{00000000-0005-0000-0000-000084040000}"/>
    <cellStyle name="Migliaia 10 3 3 2" xfId="2321" xr:uid="{00000000-0005-0000-0000-000085040000}"/>
    <cellStyle name="Migliaia 10 3 4" xfId="2320" xr:uid="{00000000-0005-0000-0000-000086040000}"/>
    <cellStyle name="Migliaia 10 3 5" xfId="3626" xr:uid="{00000000-0005-0000-0000-000087040000}"/>
    <cellStyle name="Migliaia 10 4" xfId="970" xr:uid="{00000000-0005-0000-0000-000088040000}"/>
    <cellStyle name="Migliaia 10 4 2" xfId="971" xr:uid="{00000000-0005-0000-0000-000089040000}"/>
    <cellStyle name="Migliaia 10 4 2 2" xfId="2323" xr:uid="{00000000-0005-0000-0000-00008A040000}"/>
    <cellStyle name="Migliaia 10 4 2 3" xfId="3627" xr:uid="{00000000-0005-0000-0000-00008B040000}"/>
    <cellStyle name="Migliaia 10 4 3" xfId="2322" xr:uid="{00000000-0005-0000-0000-00008C040000}"/>
    <cellStyle name="Migliaia 10 4 4" xfId="3628" xr:uid="{00000000-0005-0000-0000-00008D040000}"/>
    <cellStyle name="Migliaia 10 5" xfId="972" xr:uid="{00000000-0005-0000-0000-00008E040000}"/>
    <cellStyle name="Migliaia 10 5 2" xfId="3629" xr:uid="{00000000-0005-0000-0000-00008F040000}"/>
    <cellStyle name="Migliaia 10 6" xfId="3630" xr:uid="{00000000-0005-0000-0000-000090040000}"/>
    <cellStyle name="Migliaia 11" xfId="145" xr:uid="{00000000-0005-0000-0000-000091040000}"/>
    <cellStyle name="Migliaia 11 2" xfId="491" xr:uid="{00000000-0005-0000-0000-000092040000}"/>
    <cellStyle name="Migliaia 11 2 2" xfId="2324" xr:uid="{00000000-0005-0000-0000-000093040000}"/>
    <cellStyle name="Migliaia 11 2 2 2" xfId="3631" xr:uid="{00000000-0005-0000-0000-000094040000}"/>
    <cellStyle name="Migliaia 11 2 3" xfId="3632" xr:uid="{00000000-0005-0000-0000-000095040000}"/>
    <cellStyle name="Migliaia 11 3" xfId="973" xr:uid="{00000000-0005-0000-0000-000096040000}"/>
    <cellStyle name="Migliaia 11 3 2" xfId="974" xr:uid="{00000000-0005-0000-0000-000097040000}"/>
    <cellStyle name="Migliaia 11 3 2 2" xfId="3633" xr:uid="{00000000-0005-0000-0000-000098040000}"/>
    <cellStyle name="Migliaia 11 3 2 3" xfId="3634" xr:uid="{00000000-0005-0000-0000-000099040000}"/>
    <cellStyle name="Migliaia 11 3 3" xfId="975" xr:uid="{00000000-0005-0000-0000-00009A040000}"/>
    <cellStyle name="Migliaia 11 3 3 2" xfId="2326" xr:uid="{00000000-0005-0000-0000-00009B040000}"/>
    <cellStyle name="Migliaia 11 3 4" xfId="2325" xr:uid="{00000000-0005-0000-0000-00009C040000}"/>
    <cellStyle name="Migliaia 11 3 5" xfId="3635" xr:uid="{00000000-0005-0000-0000-00009D040000}"/>
    <cellStyle name="Migliaia 11 4" xfId="976" xr:uid="{00000000-0005-0000-0000-00009E040000}"/>
    <cellStyle name="Migliaia 11 4 2" xfId="977" xr:uid="{00000000-0005-0000-0000-00009F040000}"/>
    <cellStyle name="Migliaia 11 4 2 2" xfId="2328" xr:uid="{00000000-0005-0000-0000-0000A0040000}"/>
    <cellStyle name="Migliaia 11 4 2 3" xfId="3636" xr:uid="{00000000-0005-0000-0000-0000A1040000}"/>
    <cellStyle name="Migliaia 11 4 3" xfId="2327" xr:uid="{00000000-0005-0000-0000-0000A2040000}"/>
    <cellStyle name="Migliaia 11 4 4" xfId="3637" xr:uid="{00000000-0005-0000-0000-0000A3040000}"/>
    <cellStyle name="Migliaia 11 5" xfId="978" xr:uid="{00000000-0005-0000-0000-0000A4040000}"/>
    <cellStyle name="Migliaia 11 5 2" xfId="3638" xr:uid="{00000000-0005-0000-0000-0000A5040000}"/>
    <cellStyle name="Migliaia 11 6" xfId="3639" xr:uid="{00000000-0005-0000-0000-0000A6040000}"/>
    <cellStyle name="Migliaia 12" xfId="146" xr:uid="{00000000-0005-0000-0000-0000A7040000}"/>
    <cellStyle name="Migliaia 12 2" xfId="492" xr:uid="{00000000-0005-0000-0000-0000A8040000}"/>
    <cellStyle name="Migliaia 12 2 2" xfId="2329" xr:uid="{00000000-0005-0000-0000-0000A9040000}"/>
    <cellStyle name="Migliaia 12 2 2 2" xfId="3640" xr:uid="{00000000-0005-0000-0000-0000AA040000}"/>
    <cellStyle name="Migliaia 12 2 3" xfId="3641" xr:uid="{00000000-0005-0000-0000-0000AB040000}"/>
    <cellStyle name="Migliaia 12 3" xfId="979" xr:uid="{00000000-0005-0000-0000-0000AC040000}"/>
    <cellStyle name="Migliaia 12 3 2" xfId="980" xr:uid="{00000000-0005-0000-0000-0000AD040000}"/>
    <cellStyle name="Migliaia 12 3 2 2" xfId="3642" xr:uid="{00000000-0005-0000-0000-0000AE040000}"/>
    <cellStyle name="Migliaia 12 3 2 3" xfId="3643" xr:uid="{00000000-0005-0000-0000-0000AF040000}"/>
    <cellStyle name="Migliaia 12 3 3" xfId="981" xr:uid="{00000000-0005-0000-0000-0000B0040000}"/>
    <cellStyle name="Migliaia 12 3 3 2" xfId="2331" xr:uid="{00000000-0005-0000-0000-0000B1040000}"/>
    <cellStyle name="Migliaia 12 3 4" xfId="2330" xr:uid="{00000000-0005-0000-0000-0000B2040000}"/>
    <cellStyle name="Migliaia 12 3 5" xfId="3644" xr:uid="{00000000-0005-0000-0000-0000B3040000}"/>
    <cellStyle name="Migliaia 12 4" xfId="982" xr:uid="{00000000-0005-0000-0000-0000B4040000}"/>
    <cellStyle name="Migliaia 12 4 2" xfId="983" xr:uid="{00000000-0005-0000-0000-0000B5040000}"/>
    <cellStyle name="Migliaia 12 4 2 2" xfId="2333" xr:uid="{00000000-0005-0000-0000-0000B6040000}"/>
    <cellStyle name="Migliaia 12 4 2 3" xfId="3645" xr:uid="{00000000-0005-0000-0000-0000B7040000}"/>
    <cellStyle name="Migliaia 12 4 3" xfId="2332" xr:uid="{00000000-0005-0000-0000-0000B8040000}"/>
    <cellStyle name="Migliaia 12 4 4" xfId="3646" xr:uid="{00000000-0005-0000-0000-0000B9040000}"/>
    <cellStyle name="Migliaia 12 5" xfId="984" xr:uid="{00000000-0005-0000-0000-0000BA040000}"/>
    <cellStyle name="Migliaia 12 5 2" xfId="3647" xr:uid="{00000000-0005-0000-0000-0000BB040000}"/>
    <cellStyle name="Migliaia 12 6" xfId="3648" xr:uid="{00000000-0005-0000-0000-0000BC040000}"/>
    <cellStyle name="Migliaia 13" xfId="147" xr:uid="{00000000-0005-0000-0000-0000BD040000}"/>
    <cellStyle name="Migliaia 13 2" xfId="493" xr:uid="{00000000-0005-0000-0000-0000BE040000}"/>
    <cellStyle name="Migliaia 13 2 2" xfId="2334" xr:uid="{00000000-0005-0000-0000-0000BF040000}"/>
    <cellStyle name="Migliaia 13 2 2 2" xfId="3649" xr:uid="{00000000-0005-0000-0000-0000C0040000}"/>
    <cellStyle name="Migliaia 13 2 3" xfId="3650" xr:uid="{00000000-0005-0000-0000-0000C1040000}"/>
    <cellStyle name="Migliaia 13 3" xfId="985" xr:uid="{00000000-0005-0000-0000-0000C2040000}"/>
    <cellStyle name="Migliaia 13 3 2" xfId="986" xr:uid="{00000000-0005-0000-0000-0000C3040000}"/>
    <cellStyle name="Migliaia 13 3 2 2" xfId="3651" xr:uid="{00000000-0005-0000-0000-0000C4040000}"/>
    <cellStyle name="Migliaia 13 3 2 3" xfId="3652" xr:uid="{00000000-0005-0000-0000-0000C5040000}"/>
    <cellStyle name="Migliaia 13 3 3" xfId="987" xr:uid="{00000000-0005-0000-0000-0000C6040000}"/>
    <cellStyle name="Migliaia 13 3 3 2" xfId="2336" xr:uid="{00000000-0005-0000-0000-0000C7040000}"/>
    <cellStyle name="Migliaia 13 3 4" xfId="2335" xr:uid="{00000000-0005-0000-0000-0000C8040000}"/>
    <cellStyle name="Migliaia 13 3 5" xfId="3653" xr:uid="{00000000-0005-0000-0000-0000C9040000}"/>
    <cellStyle name="Migliaia 13 4" xfId="988" xr:uid="{00000000-0005-0000-0000-0000CA040000}"/>
    <cellStyle name="Migliaia 13 4 2" xfId="989" xr:uid="{00000000-0005-0000-0000-0000CB040000}"/>
    <cellStyle name="Migliaia 13 4 2 2" xfId="2338" xr:uid="{00000000-0005-0000-0000-0000CC040000}"/>
    <cellStyle name="Migliaia 13 4 2 3" xfId="3654" xr:uid="{00000000-0005-0000-0000-0000CD040000}"/>
    <cellStyle name="Migliaia 13 4 3" xfId="2337" xr:uid="{00000000-0005-0000-0000-0000CE040000}"/>
    <cellStyle name="Migliaia 13 4 4" xfId="3655" xr:uid="{00000000-0005-0000-0000-0000CF040000}"/>
    <cellStyle name="Migliaia 13 5" xfId="990" xr:uid="{00000000-0005-0000-0000-0000D0040000}"/>
    <cellStyle name="Migliaia 13 5 2" xfId="3656" xr:uid="{00000000-0005-0000-0000-0000D1040000}"/>
    <cellStyle name="Migliaia 13 6" xfId="3657" xr:uid="{00000000-0005-0000-0000-0000D2040000}"/>
    <cellStyle name="Migliaia 14" xfId="148" xr:uid="{00000000-0005-0000-0000-0000D3040000}"/>
    <cellStyle name="Migliaia 14 2" xfId="494" xr:uid="{00000000-0005-0000-0000-0000D4040000}"/>
    <cellStyle name="Migliaia 14 2 2" xfId="2339" xr:uid="{00000000-0005-0000-0000-0000D5040000}"/>
    <cellStyle name="Migliaia 14 2 2 2" xfId="3658" xr:uid="{00000000-0005-0000-0000-0000D6040000}"/>
    <cellStyle name="Migliaia 14 2 3" xfId="3659" xr:uid="{00000000-0005-0000-0000-0000D7040000}"/>
    <cellStyle name="Migliaia 14 3" xfId="991" xr:uid="{00000000-0005-0000-0000-0000D8040000}"/>
    <cellStyle name="Migliaia 14 3 2" xfId="992" xr:uid="{00000000-0005-0000-0000-0000D9040000}"/>
    <cellStyle name="Migliaia 14 3 2 2" xfId="3660" xr:uid="{00000000-0005-0000-0000-0000DA040000}"/>
    <cellStyle name="Migliaia 14 3 2 3" xfId="3661" xr:uid="{00000000-0005-0000-0000-0000DB040000}"/>
    <cellStyle name="Migliaia 14 3 3" xfId="993" xr:uid="{00000000-0005-0000-0000-0000DC040000}"/>
    <cellStyle name="Migliaia 14 3 3 2" xfId="2341" xr:uid="{00000000-0005-0000-0000-0000DD040000}"/>
    <cellStyle name="Migliaia 14 3 4" xfId="2340" xr:uid="{00000000-0005-0000-0000-0000DE040000}"/>
    <cellStyle name="Migliaia 14 3 5" xfId="3662" xr:uid="{00000000-0005-0000-0000-0000DF040000}"/>
    <cellStyle name="Migliaia 14 4" xfId="994" xr:uid="{00000000-0005-0000-0000-0000E0040000}"/>
    <cellStyle name="Migliaia 14 4 2" xfId="995" xr:uid="{00000000-0005-0000-0000-0000E1040000}"/>
    <cellStyle name="Migliaia 14 4 2 2" xfId="2343" xr:uid="{00000000-0005-0000-0000-0000E2040000}"/>
    <cellStyle name="Migliaia 14 4 2 3" xfId="3663" xr:uid="{00000000-0005-0000-0000-0000E3040000}"/>
    <cellStyle name="Migliaia 14 4 3" xfId="2342" xr:uid="{00000000-0005-0000-0000-0000E4040000}"/>
    <cellStyle name="Migliaia 14 4 4" xfId="3664" xr:uid="{00000000-0005-0000-0000-0000E5040000}"/>
    <cellStyle name="Migliaia 14 5" xfId="996" xr:uid="{00000000-0005-0000-0000-0000E6040000}"/>
    <cellStyle name="Migliaia 14 5 2" xfId="3665" xr:uid="{00000000-0005-0000-0000-0000E7040000}"/>
    <cellStyle name="Migliaia 14 6" xfId="3666" xr:uid="{00000000-0005-0000-0000-0000E8040000}"/>
    <cellStyle name="Migliaia 15" xfId="149" xr:uid="{00000000-0005-0000-0000-0000E9040000}"/>
    <cellStyle name="Migliaia 15 2" xfId="495" xr:uid="{00000000-0005-0000-0000-0000EA040000}"/>
    <cellStyle name="Migliaia 15 2 2" xfId="2344" xr:uid="{00000000-0005-0000-0000-0000EB040000}"/>
    <cellStyle name="Migliaia 15 2 2 2" xfId="3667" xr:uid="{00000000-0005-0000-0000-0000EC040000}"/>
    <cellStyle name="Migliaia 15 2 3" xfId="3668" xr:uid="{00000000-0005-0000-0000-0000ED040000}"/>
    <cellStyle name="Migliaia 15 3" xfId="997" xr:uid="{00000000-0005-0000-0000-0000EE040000}"/>
    <cellStyle name="Migliaia 15 3 2" xfId="998" xr:uid="{00000000-0005-0000-0000-0000EF040000}"/>
    <cellStyle name="Migliaia 15 3 2 2" xfId="3669" xr:uid="{00000000-0005-0000-0000-0000F0040000}"/>
    <cellStyle name="Migliaia 15 3 2 3" xfId="3670" xr:uid="{00000000-0005-0000-0000-0000F1040000}"/>
    <cellStyle name="Migliaia 15 3 3" xfId="999" xr:uid="{00000000-0005-0000-0000-0000F2040000}"/>
    <cellStyle name="Migliaia 15 3 3 2" xfId="2346" xr:uid="{00000000-0005-0000-0000-0000F3040000}"/>
    <cellStyle name="Migliaia 15 3 4" xfId="2345" xr:uid="{00000000-0005-0000-0000-0000F4040000}"/>
    <cellStyle name="Migliaia 15 3 5" xfId="3671" xr:uid="{00000000-0005-0000-0000-0000F5040000}"/>
    <cellStyle name="Migliaia 15 4" xfId="1000" xr:uid="{00000000-0005-0000-0000-0000F6040000}"/>
    <cellStyle name="Migliaia 15 4 2" xfId="1001" xr:uid="{00000000-0005-0000-0000-0000F7040000}"/>
    <cellStyle name="Migliaia 15 4 2 2" xfId="2348" xr:uid="{00000000-0005-0000-0000-0000F8040000}"/>
    <cellStyle name="Migliaia 15 4 2 3" xfId="3672" xr:uid="{00000000-0005-0000-0000-0000F9040000}"/>
    <cellStyle name="Migliaia 15 4 3" xfId="2347" xr:uid="{00000000-0005-0000-0000-0000FA040000}"/>
    <cellStyle name="Migliaia 15 4 4" xfId="3673" xr:uid="{00000000-0005-0000-0000-0000FB040000}"/>
    <cellStyle name="Migliaia 15 5" xfId="1002" xr:uid="{00000000-0005-0000-0000-0000FC040000}"/>
    <cellStyle name="Migliaia 15 5 2" xfId="3674" xr:uid="{00000000-0005-0000-0000-0000FD040000}"/>
    <cellStyle name="Migliaia 15 6" xfId="3675" xr:uid="{00000000-0005-0000-0000-0000FE040000}"/>
    <cellStyle name="Migliaia 16" xfId="150" xr:uid="{00000000-0005-0000-0000-0000FF040000}"/>
    <cellStyle name="Migliaia 16 2" xfId="496" xr:uid="{00000000-0005-0000-0000-000000050000}"/>
    <cellStyle name="Migliaia 16 2 2" xfId="2349" xr:uid="{00000000-0005-0000-0000-000001050000}"/>
    <cellStyle name="Migliaia 16 2 2 2" xfId="3676" xr:uid="{00000000-0005-0000-0000-000002050000}"/>
    <cellStyle name="Migliaia 16 2 3" xfId="3677" xr:uid="{00000000-0005-0000-0000-000003050000}"/>
    <cellStyle name="Migliaia 16 3" xfId="1003" xr:uid="{00000000-0005-0000-0000-000004050000}"/>
    <cellStyle name="Migliaia 16 3 2" xfId="1004" xr:uid="{00000000-0005-0000-0000-000005050000}"/>
    <cellStyle name="Migliaia 16 3 2 2" xfId="3678" xr:uid="{00000000-0005-0000-0000-000006050000}"/>
    <cellStyle name="Migliaia 16 3 2 3" xfId="3679" xr:uid="{00000000-0005-0000-0000-000007050000}"/>
    <cellStyle name="Migliaia 16 3 3" xfId="1005" xr:uid="{00000000-0005-0000-0000-000008050000}"/>
    <cellStyle name="Migliaia 16 3 3 2" xfId="2351" xr:uid="{00000000-0005-0000-0000-000009050000}"/>
    <cellStyle name="Migliaia 16 3 4" xfId="2350" xr:uid="{00000000-0005-0000-0000-00000A050000}"/>
    <cellStyle name="Migliaia 16 3 5" xfId="3680" xr:uid="{00000000-0005-0000-0000-00000B050000}"/>
    <cellStyle name="Migliaia 16 4" xfId="1006" xr:uid="{00000000-0005-0000-0000-00000C050000}"/>
    <cellStyle name="Migliaia 16 4 2" xfId="1007" xr:uid="{00000000-0005-0000-0000-00000D050000}"/>
    <cellStyle name="Migliaia 16 4 2 2" xfId="2353" xr:uid="{00000000-0005-0000-0000-00000E050000}"/>
    <cellStyle name="Migliaia 16 4 2 3" xfId="3681" xr:uid="{00000000-0005-0000-0000-00000F050000}"/>
    <cellStyle name="Migliaia 16 4 3" xfId="2352" xr:uid="{00000000-0005-0000-0000-000010050000}"/>
    <cellStyle name="Migliaia 16 4 4" xfId="3682" xr:uid="{00000000-0005-0000-0000-000011050000}"/>
    <cellStyle name="Migliaia 16 5" xfId="1008" xr:uid="{00000000-0005-0000-0000-000012050000}"/>
    <cellStyle name="Migliaia 16 5 2" xfId="3683" xr:uid="{00000000-0005-0000-0000-000013050000}"/>
    <cellStyle name="Migliaia 16 6" xfId="3684" xr:uid="{00000000-0005-0000-0000-000014050000}"/>
    <cellStyle name="Migliaia 17" xfId="151" xr:uid="{00000000-0005-0000-0000-000015050000}"/>
    <cellStyle name="Migliaia 17 2" xfId="497" xr:uid="{00000000-0005-0000-0000-000016050000}"/>
    <cellStyle name="Migliaia 17 2 2" xfId="2354" xr:uid="{00000000-0005-0000-0000-000017050000}"/>
    <cellStyle name="Migliaia 17 2 2 2" xfId="3685" xr:uid="{00000000-0005-0000-0000-000018050000}"/>
    <cellStyle name="Migliaia 17 2 3" xfId="3686" xr:uid="{00000000-0005-0000-0000-000019050000}"/>
    <cellStyle name="Migliaia 17 3" xfId="1009" xr:uid="{00000000-0005-0000-0000-00001A050000}"/>
    <cellStyle name="Migliaia 17 3 2" xfId="1010" xr:uid="{00000000-0005-0000-0000-00001B050000}"/>
    <cellStyle name="Migliaia 17 3 2 2" xfId="3687" xr:uid="{00000000-0005-0000-0000-00001C050000}"/>
    <cellStyle name="Migliaia 17 3 2 3" xfId="3688" xr:uid="{00000000-0005-0000-0000-00001D050000}"/>
    <cellStyle name="Migliaia 17 3 3" xfId="1011" xr:uid="{00000000-0005-0000-0000-00001E050000}"/>
    <cellStyle name="Migliaia 17 3 3 2" xfId="2356" xr:uid="{00000000-0005-0000-0000-00001F050000}"/>
    <cellStyle name="Migliaia 17 3 4" xfId="2355" xr:uid="{00000000-0005-0000-0000-000020050000}"/>
    <cellStyle name="Migliaia 17 3 5" xfId="3689" xr:uid="{00000000-0005-0000-0000-000021050000}"/>
    <cellStyle name="Migliaia 17 4" xfId="1012" xr:uid="{00000000-0005-0000-0000-000022050000}"/>
    <cellStyle name="Migliaia 17 4 2" xfId="1013" xr:uid="{00000000-0005-0000-0000-000023050000}"/>
    <cellStyle name="Migliaia 17 4 2 2" xfId="2358" xr:uid="{00000000-0005-0000-0000-000024050000}"/>
    <cellStyle name="Migliaia 17 4 2 3" xfId="3690" xr:uid="{00000000-0005-0000-0000-000025050000}"/>
    <cellStyle name="Migliaia 17 4 3" xfId="2357" xr:uid="{00000000-0005-0000-0000-000026050000}"/>
    <cellStyle name="Migliaia 17 4 4" xfId="3691" xr:uid="{00000000-0005-0000-0000-000027050000}"/>
    <cellStyle name="Migliaia 17 5" xfId="1014" xr:uid="{00000000-0005-0000-0000-000028050000}"/>
    <cellStyle name="Migliaia 17 5 2" xfId="3692" xr:uid="{00000000-0005-0000-0000-000029050000}"/>
    <cellStyle name="Migliaia 17 6" xfId="3693" xr:uid="{00000000-0005-0000-0000-00002A050000}"/>
    <cellStyle name="Migliaia 18" xfId="152" xr:uid="{00000000-0005-0000-0000-00002B050000}"/>
    <cellStyle name="Migliaia 18 2" xfId="498" xr:uid="{00000000-0005-0000-0000-00002C050000}"/>
    <cellStyle name="Migliaia 18 2 2" xfId="2359" xr:uid="{00000000-0005-0000-0000-00002D050000}"/>
    <cellStyle name="Migliaia 18 2 2 2" xfId="3694" xr:uid="{00000000-0005-0000-0000-00002E050000}"/>
    <cellStyle name="Migliaia 18 2 3" xfId="3695" xr:uid="{00000000-0005-0000-0000-00002F050000}"/>
    <cellStyle name="Migliaia 18 3" xfId="1015" xr:uid="{00000000-0005-0000-0000-000030050000}"/>
    <cellStyle name="Migliaia 18 3 2" xfId="1016" xr:uid="{00000000-0005-0000-0000-000031050000}"/>
    <cellStyle name="Migliaia 18 3 2 2" xfId="3696" xr:uid="{00000000-0005-0000-0000-000032050000}"/>
    <cellStyle name="Migliaia 18 3 2 3" xfId="3697" xr:uid="{00000000-0005-0000-0000-000033050000}"/>
    <cellStyle name="Migliaia 18 3 3" xfId="1017" xr:uid="{00000000-0005-0000-0000-000034050000}"/>
    <cellStyle name="Migliaia 18 3 3 2" xfId="2361" xr:uid="{00000000-0005-0000-0000-000035050000}"/>
    <cellStyle name="Migliaia 18 3 4" xfId="2360" xr:uid="{00000000-0005-0000-0000-000036050000}"/>
    <cellStyle name="Migliaia 18 3 5" xfId="3698" xr:uid="{00000000-0005-0000-0000-000037050000}"/>
    <cellStyle name="Migliaia 18 4" xfId="1018" xr:uid="{00000000-0005-0000-0000-000038050000}"/>
    <cellStyle name="Migliaia 18 4 2" xfId="1019" xr:uid="{00000000-0005-0000-0000-000039050000}"/>
    <cellStyle name="Migliaia 18 4 2 2" xfId="2363" xr:uid="{00000000-0005-0000-0000-00003A050000}"/>
    <cellStyle name="Migliaia 18 4 2 3" xfId="3699" xr:uid="{00000000-0005-0000-0000-00003B050000}"/>
    <cellStyle name="Migliaia 18 4 3" xfId="2362" xr:uid="{00000000-0005-0000-0000-00003C050000}"/>
    <cellStyle name="Migliaia 18 4 4" xfId="3700" xr:uid="{00000000-0005-0000-0000-00003D050000}"/>
    <cellStyle name="Migliaia 18 5" xfId="1020" xr:uid="{00000000-0005-0000-0000-00003E050000}"/>
    <cellStyle name="Migliaia 18 5 2" xfId="3701" xr:uid="{00000000-0005-0000-0000-00003F050000}"/>
    <cellStyle name="Migliaia 18 6" xfId="3702" xr:uid="{00000000-0005-0000-0000-000040050000}"/>
    <cellStyle name="Migliaia 19" xfId="153" xr:uid="{00000000-0005-0000-0000-000041050000}"/>
    <cellStyle name="Migliaia 19 2" xfId="499" xr:uid="{00000000-0005-0000-0000-000042050000}"/>
    <cellStyle name="Migliaia 19 2 2" xfId="2364" xr:uid="{00000000-0005-0000-0000-000043050000}"/>
    <cellStyle name="Migliaia 19 2 2 2" xfId="3703" xr:uid="{00000000-0005-0000-0000-000044050000}"/>
    <cellStyle name="Migliaia 19 2 3" xfId="3704" xr:uid="{00000000-0005-0000-0000-000045050000}"/>
    <cellStyle name="Migliaia 19 3" xfId="1021" xr:uid="{00000000-0005-0000-0000-000046050000}"/>
    <cellStyle name="Migliaia 19 3 2" xfId="1022" xr:uid="{00000000-0005-0000-0000-000047050000}"/>
    <cellStyle name="Migliaia 19 3 2 2" xfId="3705" xr:uid="{00000000-0005-0000-0000-000048050000}"/>
    <cellStyle name="Migliaia 19 3 2 3" xfId="3706" xr:uid="{00000000-0005-0000-0000-000049050000}"/>
    <cellStyle name="Migliaia 19 3 3" xfId="1023" xr:uid="{00000000-0005-0000-0000-00004A050000}"/>
    <cellStyle name="Migliaia 19 3 3 2" xfId="2366" xr:uid="{00000000-0005-0000-0000-00004B050000}"/>
    <cellStyle name="Migliaia 19 3 4" xfId="2365" xr:uid="{00000000-0005-0000-0000-00004C050000}"/>
    <cellStyle name="Migliaia 19 3 5" xfId="3707" xr:uid="{00000000-0005-0000-0000-00004D050000}"/>
    <cellStyle name="Migliaia 19 4" xfId="1024" xr:uid="{00000000-0005-0000-0000-00004E050000}"/>
    <cellStyle name="Migliaia 19 4 2" xfId="1025" xr:uid="{00000000-0005-0000-0000-00004F050000}"/>
    <cellStyle name="Migliaia 19 4 2 2" xfId="2368" xr:uid="{00000000-0005-0000-0000-000050050000}"/>
    <cellStyle name="Migliaia 19 4 2 3" xfId="3708" xr:uid="{00000000-0005-0000-0000-000051050000}"/>
    <cellStyle name="Migliaia 19 4 3" xfId="2367" xr:uid="{00000000-0005-0000-0000-000052050000}"/>
    <cellStyle name="Migliaia 19 4 4" xfId="3709" xr:uid="{00000000-0005-0000-0000-000053050000}"/>
    <cellStyle name="Migliaia 19 5" xfId="1026" xr:uid="{00000000-0005-0000-0000-000054050000}"/>
    <cellStyle name="Migliaia 19 5 2" xfId="3710" xr:uid="{00000000-0005-0000-0000-000055050000}"/>
    <cellStyle name="Migliaia 19 6" xfId="3711" xr:uid="{00000000-0005-0000-0000-000056050000}"/>
    <cellStyle name="Migliaia 2" xfId="154" xr:uid="{00000000-0005-0000-0000-000057050000}"/>
    <cellStyle name="Migliaia 2 2" xfId="155" xr:uid="{00000000-0005-0000-0000-000058050000}"/>
    <cellStyle name="Migliaia 2 2 2" xfId="2075" xr:uid="{00000000-0005-0000-0000-000059050000}"/>
    <cellStyle name="Migliaia 2 2 2 2" xfId="3712" xr:uid="{00000000-0005-0000-0000-00005A050000}"/>
    <cellStyle name="Migliaia 2 2 2 3" xfId="3713" xr:uid="{00000000-0005-0000-0000-00005B050000}"/>
    <cellStyle name="Migliaia 2 2 3" xfId="3714" xr:uid="{00000000-0005-0000-0000-00005C050000}"/>
    <cellStyle name="Migliaia 2 2 4" xfId="3715" xr:uid="{00000000-0005-0000-0000-00005D050000}"/>
    <cellStyle name="Migliaia 2 3" xfId="156" xr:uid="{00000000-0005-0000-0000-00005E050000}"/>
    <cellStyle name="Migliaia 2 3 2" xfId="2076" xr:uid="{00000000-0005-0000-0000-00005F050000}"/>
    <cellStyle name="Migliaia 2 3 2 2" xfId="3716" xr:uid="{00000000-0005-0000-0000-000060050000}"/>
    <cellStyle name="Migliaia 2 3 2 3" xfId="3717" xr:uid="{00000000-0005-0000-0000-000061050000}"/>
    <cellStyle name="Migliaia 2 3 3" xfId="3718" xr:uid="{00000000-0005-0000-0000-000062050000}"/>
    <cellStyle name="Migliaia 2 3 4" xfId="3719" xr:uid="{00000000-0005-0000-0000-000063050000}"/>
    <cellStyle name="Migliaia 2 4" xfId="1027" xr:uid="{00000000-0005-0000-0000-000064050000}"/>
    <cellStyle name="Migliaia 2 4 2" xfId="1028" xr:uid="{00000000-0005-0000-0000-000065050000}"/>
    <cellStyle name="Migliaia 2 4 2 2" xfId="3720" xr:uid="{00000000-0005-0000-0000-000066050000}"/>
    <cellStyle name="Migliaia 2 4 2 3" xfId="3721" xr:uid="{00000000-0005-0000-0000-000067050000}"/>
    <cellStyle name="Migliaia 2 4 3" xfId="1029" xr:uid="{00000000-0005-0000-0000-000068050000}"/>
    <cellStyle name="Migliaia 2 4 3 2" xfId="2370" xr:uid="{00000000-0005-0000-0000-000069050000}"/>
    <cellStyle name="Migliaia 2 4 4" xfId="2369" xr:uid="{00000000-0005-0000-0000-00006A050000}"/>
    <cellStyle name="Migliaia 2 4 5" xfId="3722" xr:uid="{00000000-0005-0000-0000-00006B050000}"/>
    <cellStyle name="Migliaia 2 5" xfId="1030" xr:uid="{00000000-0005-0000-0000-00006C050000}"/>
    <cellStyle name="Migliaia 2 5 2" xfId="1031" xr:uid="{00000000-0005-0000-0000-00006D050000}"/>
    <cellStyle name="Migliaia 2 5 2 2" xfId="2372" xr:uid="{00000000-0005-0000-0000-00006E050000}"/>
    <cellStyle name="Migliaia 2 5 2 3" xfId="3723" xr:uid="{00000000-0005-0000-0000-00006F050000}"/>
    <cellStyle name="Migliaia 2 5 3" xfId="2371" xr:uid="{00000000-0005-0000-0000-000070050000}"/>
    <cellStyle name="Migliaia 2 5 4" xfId="3724" xr:uid="{00000000-0005-0000-0000-000071050000}"/>
    <cellStyle name="Migliaia 2 6" xfId="1032" xr:uid="{00000000-0005-0000-0000-000072050000}"/>
    <cellStyle name="Migliaia 2 6 2" xfId="3725" xr:uid="{00000000-0005-0000-0000-000073050000}"/>
    <cellStyle name="Migliaia 2 7" xfId="3726" xr:uid="{00000000-0005-0000-0000-000074050000}"/>
    <cellStyle name="Migliaia 2_Domestico_reg&amp;naz" xfId="157" xr:uid="{00000000-0005-0000-0000-000075050000}"/>
    <cellStyle name="Migliaia 20" xfId="158" xr:uid="{00000000-0005-0000-0000-000076050000}"/>
    <cellStyle name="Migliaia 20 2" xfId="500" xr:uid="{00000000-0005-0000-0000-000077050000}"/>
    <cellStyle name="Migliaia 20 2 2" xfId="2373" xr:uid="{00000000-0005-0000-0000-000078050000}"/>
    <cellStyle name="Migliaia 20 2 2 2" xfId="3727" xr:uid="{00000000-0005-0000-0000-000079050000}"/>
    <cellStyle name="Migliaia 20 2 3" xfId="3728" xr:uid="{00000000-0005-0000-0000-00007A050000}"/>
    <cellStyle name="Migliaia 20 3" xfId="1033" xr:uid="{00000000-0005-0000-0000-00007B050000}"/>
    <cellStyle name="Migliaia 20 3 2" xfId="1034" xr:uid="{00000000-0005-0000-0000-00007C050000}"/>
    <cellStyle name="Migliaia 20 3 2 2" xfId="3729" xr:uid="{00000000-0005-0000-0000-00007D050000}"/>
    <cellStyle name="Migliaia 20 3 2 3" xfId="3730" xr:uid="{00000000-0005-0000-0000-00007E050000}"/>
    <cellStyle name="Migliaia 20 3 3" xfId="1035" xr:uid="{00000000-0005-0000-0000-00007F050000}"/>
    <cellStyle name="Migliaia 20 3 3 2" xfId="2375" xr:uid="{00000000-0005-0000-0000-000080050000}"/>
    <cellStyle name="Migliaia 20 3 4" xfId="2374" xr:uid="{00000000-0005-0000-0000-000081050000}"/>
    <cellStyle name="Migliaia 20 3 5" xfId="3731" xr:uid="{00000000-0005-0000-0000-000082050000}"/>
    <cellStyle name="Migliaia 20 4" xfId="1036" xr:uid="{00000000-0005-0000-0000-000083050000}"/>
    <cellStyle name="Migliaia 20 4 2" xfId="1037" xr:uid="{00000000-0005-0000-0000-000084050000}"/>
    <cellStyle name="Migliaia 20 4 2 2" xfId="2377" xr:uid="{00000000-0005-0000-0000-000085050000}"/>
    <cellStyle name="Migliaia 20 4 2 3" xfId="3732" xr:uid="{00000000-0005-0000-0000-000086050000}"/>
    <cellStyle name="Migliaia 20 4 3" xfId="2376" xr:uid="{00000000-0005-0000-0000-000087050000}"/>
    <cellStyle name="Migliaia 20 4 4" xfId="3733" xr:uid="{00000000-0005-0000-0000-000088050000}"/>
    <cellStyle name="Migliaia 20 5" xfId="1038" xr:uid="{00000000-0005-0000-0000-000089050000}"/>
    <cellStyle name="Migliaia 20 5 2" xfId="3734" xr:uid="{00000000-0005-0000-0000-00008A050000}"/>
    <cellStyle name="Migliaia 20 6" xfId="3735" xr:uid="{00000000-0005-0000-0000-00008B050000}"/>
    <cellStyle name="Migliaia 21" xfId="159" xr:uid="{00000000-0005-0000-0000-00008C050000}"/>
    <cellStyle name="Migliaia 21 2" xfId="501" xr:uid="{00000000-0005-0000-0000-00008D050000}"/>
    <cellStyle name="Migliaia 21 2 2" xfId="2378" xr:uid="{00000000-0005-0000-0000-00008E050000}"/>
    <cellStyle name="Migliaia 21 2 2 2" xfId="3736" xr:uid="{00000000-0005-0000-0000-00008F050000}"/>
    <cellStyle name="Migliaia 21 2 3" xfId="3737" xr:uid="{00000000-0005-0000-0000-000090050000}"/>
    <cellStyle name="Migliaia 21 3" xfId="1039" xr:uid="{00000000-0005-0000-0000-000091050000}"/>
    <cellStyle name="Migliaia 21 3 2" xfId="1040" xr:uid="{00000000-0005-0000-0000-000092050000}"/>
    <cellStyle name="Migliaia 21 3 2 2" xfId="3738" xr:uid="{00000000-0005-0000-0000-000093050000}"/>
    <cellStyle name="Migliaia 21 3 2 3" xfId="3739" xr:uid="{00000000-0005-0000-0000-000094050000}"/>
    <cellStyle name="Migliaia 21 3 3" xfId="1041" xr:uid="{00000000-0005-0000-0000-000095050000}"/>
    <cellStyle name="Migliaia 21 3 3 2" xfId="2380" xr:uid="{00000000-0005-0000-0000-000096050000}"/>
    <cellStyle name="Migliaia 21 3 4" xfId="2379" xr:uid="{00000000-0005-0000-0000-000097050000}"/>
    <cellStyle name="Migliaia 21 3 5" xfId="3740" xr:uid="{00000000-0005-0000-0000-000098050000}"/>
    <cellStyle name="Migliaia 21 4" xfId="1042" xr:uid="{00000000-0005-0000-0000-000099050000}"/>
    <cellStyle name="Migliaia 21 4 2" xfId="1043" xr:uid="{00000000-0005-0000-0000-00009A050000}"/>
    <cellStyle name="Migliaia 21 4 2 2" xfId="2382" xr:uid="{00000000-0005-0000-0000-00009B050000}"/>
    <cellStyle name="Migliaia 21 4 2 3" xfId="3741" xr:uid="{00000000-0005-0000-0000-00009C050000}"/>
    <cellStyle name="Migliaia 21 4 3" xfId="2381" xr:uid="{00000000-0005-0000-0000-00009D050000}"/>
    <cellStyle name="Migliaia 21 4 4" xfId="3742" xr:uid="{00000000-0005-0000-0000-00009E050000}"/>
    <cellStyle name="Migliaia 21 5" xfId="1044" xr:uid="{00000000-0005-0000-0000-00009F050000}"/>
    <cellStyle name="Migliaia 21 5 2" xfId="3743" xr:uid="{00000000-0005-0000-0000-0000A0050000}"/>
    <cellStyle name="Migliaia 21 6" xfId="3744" xr:uid="{00000000-0005-0000-0000-0000A1050000}"/>
    <cellStyle name="Migliaia 22" xfId="160" xr:uid="{00000000-0005-0000-0000-0000A2050000}"/>
    <cellStyle name="Migliaia 22 2" xfId="502" xr:uid="{00000000-0005-0000-0000-0000A3050000}"/>
    <cellStyle name="Migliaia 22 2 2" xfId="2383" xr:uid="{00000000-0005-0000-0000-0000A4050000}"/>
    <cellStyle name="Migliaia 22 2 2 2" xfId="3745" xr:uid="{00000000-0005-0000-0000-0000A5050000}"/>
    <cellStyle name="Migliaia 22 2 3" xfId="3746" xr:uid="{00000000-0005-0000-0000-0000A6050000}"/>
    <cellStyle name="Migliaia 22 3" xfId="1045" xr:uid="{00000000-0005-0000-0000-0000A7050000}"/>
    <cellStyle name="Migliaia 22 3 2" xfId="1046" xr:uid="{00000000-0005-0000-0000-0000A8050000}"/>
    <cellStyle name="Migliaia 22 3 2 2" xfId="3747" xr:uid="{00000000-0005-0000-0000-0000A9050000}"/>
    <cellStyle name="Migliaia 22 3 2 3" xfId="3748" xr:uid="{00000000-0005-0000-0000-0000AA050000}"/>
    <cellStyle name="Migliaia 22 3 3" xfId="1047" xr:uid="{00000000-0005-0000-0000-0000AB050000}"/>
    <cellStyle name="Migliaia 22 3 3 2" xfId="2385" xr:uid="{00000000-0005-0000-0000-0000AC050000}"/>
    <cellStyle name="Migliaia 22 3 4" xfId="2384" xr:uid="{00000000-0005-0000-0000-0000AD050000}"/>
    <cellStyle name="Migliaia 22 3 5" xfId="3749" xr:uid="{00000000-0005-0000-0000-0000AE050000}"/>
    <cellStyle name="Migliaia 22 4" xfId="1048" xr:uid="{00000000-0005-0000-0000-0000AF050000}"/>
    <cellStyle name="Migliaia 22 4 2" xfId="1049" xr:uid="{00000000-0005-0000-0000-0000B0050000}"/>
    <cellStyle name="Migliaia 22 4 2 2" xfId="2387" xr:uid="{00000000-0005-0000-0000-0000B1050000}"/>
    <cellStyle name="Migliaia 22 4 2 3" xfId="3750" xr:uid="{00000000-0005-0000-0000-0000B2050000}"/>
    <cellStyle name="Migliaia 22 4 3" xfId="2386" xr:uid="{00000000-0005-0000-0000-0000B3050000}"/>
    <cellStyle name="Migliaia 22 4 4" xfId="3751" xr:uid="{00000000-0005-0000-0000-0000B4050000}"/>
    <cellStyle name="Migliaia 22 5" xfId="1050" xr:uid="{00000000-0005-0000-0000-0000B5050000}"/>
    <cellStyle name="Migliaia 22 5 2" xfId="3752" xr:uid="{00000000-0005-0000-0000-0000B6050000}"/>
    <cellStyle name="Migliaia 22 6" xfId="3753" xr:uid="{00000000-0005-0000-0000-0000B7050000}"/>
    <cellStyle name="Migliaia 23" xfId="161" xr:uid="{00000000-0005-0000-0000-0000B8050000}"/>
    <cellStyle name="Migliaia 23 2" xfId="503" xr:uid="{00000000-0005-0000-0000-0000B9050000}"/>
    <cellStyle name="Migliaia 23 2 2" xfId="2388" xr:uid="{00000000-0005-0000-0000-0000BA050000}"/>
    <cellStyle name="Migliaia 23 2 2 2" xfId="3754" xr:uid="{00000000-0005-0000-0000-0000BB050000}"/>
    <cellStyle name="Migliaia 23 2 3" xfId="3755" xr:uid="{00000000-0005-0000-0000-0000BC050000}"/>
    <cellStyle name="Migliaia 23 3" xfId="1051" xr:uid="{00000000-0005-0000-0000-0000BD050000}"/>
    <cellStyle name="Migliaia 23 3 2" xfId="1052" xr:uid="{00000000-0005-0000-0000-0000BE050000}"/>
    <cellStyle name="Migliaia 23 3 2 2" xfId="3756" xr:uid="{00000000-0005-0000-0000-0000BF050000}"/>
    <cellStyle name="Migliaia 23 3 2 3" xfId="3757" xr:uid="{00000000-0005-0000-0000-0000C0050000}"/>
    <cellStyle name="Migliaia 23 3 3" xfId="1053" xr:uid="{00000000-0005-0000-0000-0000C1050000}"/>
    <cellStyle name="Migliaia 23 3 3 2" xfId="2390" xr:uid="{00000000-0005-0000-0000-0000C2050000}"/>
    <cellStyle name="Migliaia 23 3 4" xfId="2389" xr:uid="{00000000-0005-0000-0000-0000C3050000}"/>
    <cellStyle name="Migliaia 23 3 5" xfId="3758" xr:uid="{00000000-0005-0000-0000-0000C4050000}"/>
    <cellStyle name="Migliaia 23 4" xfId="1054" xr:uid="{00000000-0005-0000-0000-0000C5050000}"/>
    <cellStyle name="Migliaia 23 4 2" xfId="1055" xr:uid="{00000000-0005-0000-0000-0000C6050000}"/>
    <cellStyle name="Migliaia 23 4 2 2" xfId="2392" xr:uid="{00000000-0005-0000-0000-0000C7050000}"/>
    <cellStyle name="Migliaia 23 4 2 3" xfId="3759" xr:uid="{00000000-0005-0000-0000-0000C8050000}"/>
    <cellStyle name="Migliaia 23 4 3" xfId="2391" xr:uid="{00000000-0005-0000-0000-0000C9050000}"/>
    <cellStyle name="Migliaia 23 4 4" xfId="3760" xr:uid="{00000000-0005-0000-0000-0000CA050000}"/>
    <cellStyle name="Migliaia 23 5" xfId="1056" xr:uid="{00000000-0005-0000-0000-0000CB050000}"/>
    <cellStyle name="Migliaia 23 5 2" xfId="3761" xr:uid="{00000000-0005-0000-0000-0000CC050000}"/>
    <cellStyle name="Migliaia 23 6" xfId="3762" xr:uid="{00000000-0005-0000-0000-0000CD050000}"/>
    <cellStyle name="Migliaia 24" xfId="162" xr:uid="{00000000-0005-0000-0000-0000CE050000}"/>
    <cellStyle name="Migliaia 24 2" xfId="504" xr:uid="{00000000-0005-0000-0000-0000CF050000}"/>
    <cellStyle name="Migliaia 24 2 2" xfId="2393" xr:uid="{00000000-0005-0000-0000-0000D0050000}"/>
    <cellStyle name="Migliaia 24 2 2 2" xfId="3763" xr:uid="{00000000-0005-0000-0000-0000D1050000}"/>
    <cellStyle name="Migliaia 24 2 3" xfId="3764" xr:uid="{00000000-0005-0000-0000-0000D2050000}"/>
    <cellStyle name="Migliaia 24 3" xfId="1057" xr:uid="{00000000-0005-0000-0000-0000D3050000}"/>
    <cellStyle name="Migliaia 24 3 2" xfId="1058" xr:uid="{00000000-0005-0000-0000-0000D4050000}"/>
    <cellStyle name="Migliaia 24 3 2 2" xfId="3765" xr:uid="{00000000-0005-0000-0000-0000D5050000}"/>
    <cellStyle name="Migliaia 24 3 2 3" xfId="3766" xr:uid="{00000000-0005-0000-0000-0000D6050000}"/>
    <cellStyle name="Migliaia 24 3 3" xfId="1059" xr:uid="{00000000-0005-0000-0000-0000D7050000}"/>
    <cellStyle name="Migliaia 24 3 3 2" xfId="2395" xr:uid="{00000000-0005-0000-0000-0000D8050000}"/>
    <cellStyle name="Migliaia 24 3 4" xfId="2394" xr:uid="{00000000-0005-0000-0000-0000D9050000}"/>
    <cellStyle name="Migliaia 24 3 5" xfId="3767" xr:uid="{00000000-0005-0000-0000-0000DA050000}"/>
    <cellStyle name="Migliaia 24 4" xfId="1060" xr:uid="{00000000-0005-0000-0000-0000DB050000}"/>
    <cellStyle name="Migliaia 24 4 2" xfId="1061" xr:uid="{00000000-0005-0000-0000-0000DC050000}"/>
    <cellStyle name="Migliaia 24 4 2 2" xfId="2397" xr:uid="{00000000-0005-0000-0000-0000DD050000}"/>
    <cellStyle name="Migliaia 24 4 2 3" xfId="3768" xr:uid="{00000000-0005-0000-0000-0000DE050000}"/>
    <cellStyle name="Migliaia 24 4 3" xfId="2396" xr:uid="{00000000-0005-0000-0000-0000DF050000}"/>
    <cellStyle name="Migliaia 24 4 4" xfId="3769" xr:uid="{00000000-0005-0000-0000-0000E0050000}"/>
    <cellStyle name="Migliaia 24 5" xfId="1062" xr:uid="{00000000-0005-0000-0000-0000E1050000}"/>
    <cellStyle name="Migliaia 24 5 2" xfId="3770" xr:uid="{00000000-0005-0000-0000-0000E2050000}"/>
    <cellStyle name="Migliaia 24 6" xfId="3771" xr:uid="{00000000-0005-0000-0000-0000E3050000}"/>
    <cellStyle name="Migliaia 25" xfId="163" xr:uid="{00000000-0005-0000-0000-0000E4050000}"/>
    <cellStyle name="Migliaia 25 2" xfId="505" xr:uid="{00000000-0005-0000-0000-0000E5050000}"/>
    <cellStyle name="Migliaia 25 2 2" xfId="2398" xr:uid="{00000000-0005-0000-0000-0000E6050000}"/>
    <cellStyle name="Migliaia 25 2 2 2" xfId="3772" xr:uid="{00000000-0005-0000-0000-0000E7050000}"/>
    <cellStyle name="Migliaia 25 2 3" xfId="3773" xr:uid="{00000000-0005-0000-0000-0000E8050000}"/>
    <cellStyle name="Migliaia 25 3" xfId="1063" xr:uid="{00000000-0005-0000-0000-0000E9050000}"/>
    <cellStyle name="Migliaia 25 3 2" xfId="1064" xr:uid="{00000000-0005-0000-0000-0000EA050000}"/>
    <cellStyle name="Migliaia 25 3 2 2" xfId="3774" xr:uid="{00000000-0005-0000-0000-0000EB050000}"/>
    <cellStyle name="Migliaia 25 3 2 3" xfId="3775" xr:uid="{00000000-0005-0000-0000-0000EC050000}"/>
    <cellStyle name="Migliaia 25 3 3" xfId="1065" xr:uid="{00000000-0005-0000-0000-0000ED050000}"/>
    <cellStyle name="Migliaia 25 3 3 2" xfId="2400" xr:uid="{00000000-0005-0000-0000-0000EE050000}"/>
    <cellStyle name="Migliaia 25 3 4" xfId="2399" xr:uid="{00000000-0005-0000-0000-0000EF050000}"/>
    <cellStyle name="Migliaia 25 3 5" xfId="3776" xr:uid="{00000000-0005-0000-0000-0000F0050000}"/>
    <cellStyle name="Migliaia 25 4" xfId="1066" xr:uid="{00000000-0005-0000-0000-0000F1050000}"/>
    <cellStyle name="Migliaia 25 4 2" xfId="1067" xr:uid="{00000000-0005-0000-0000-0000F2050000}"/>
    <cellStyle name="Migliaia 25 4 2 2" xfId="2402" xr:uid="{00000000-0005-0000-0000-0000F3050000}"/>
    <cellStyle name="Migliaia 25 4 2 3" xfId="3777" xr:uid="{00000000-0005-0000-0000-0000F4050000}"/>
    <cellStyle name="Migliaia 25 4 3" xfId="2401" xr:uid="{00000000-0005-0000-0000-0000F5050000}"/>
    <cellStyle name="Migliaia 25 4 4" xfId="3778" xr:uid="{00000000-0005-0000-0000-0000F6050000}"/>
    <cellStyle name="Migliaia 25 5" xfId="1068" xr:uid="{00000000-0005-0000-0000-0000F7050000}"/>
    <cellStyle name="Migliaia 25 5 2" xfId="3779" xr:uid="{00000000-0005-0000-0000-0000F8050000}"/>
    <cellStyle name="Migliaia 25 6" xfId="3780" xr:uid="{00000000-0005-0000-0000-0000F9050000}"/>
    <cellStyle name="Migliaia 26" xfId="164" xr:uid="{00000000-0005-0000-0000-0000FA050000}"/>
    <cellStyle name="Migliaia 26 2" xfId="506" xr:uid="{00000000-0005-0000-0000-0000FB050000}"/>
    <cellStyle name="Migliaia 26 2 2" xfId="2403" xr:uid="{00000000-0005-0000-0000-0000FC050000}"/>
    <cellStyle name="Migliaia 26 2 2 2" xfId="3781" xr:uid="{00000000-0005-0000-0000-0000FD050000}"/>
    <cellStyle name="Migliaia 26 2 3" xfId="3782" xr:uid="{00000000-0005-0000-0000-0000FE050000}"/>
    <cellStyle name="Migliaia 26 3" xfId="1069" xr:uid="{00000000-0005-0000-0000-0000FF050000}"/>
    <cellStyle name="Migliaia 26 3 2" xfId="1070" xr:uid="{00000000-0005-0000-0000-000000060000}"/>
    <cellStyle name="Migliaia 26 3 2 2" xfId="3783" xr:uid="{00000000-0005-0000-0000-000001060000}"/>
    <cellStyle name="Migliaia 26 3 2 3" xfId="3784" xr:uid="{00000000-0005-0000-0000-000002060000}"/>
    <cellStyle name="Migliaia 26 3 3" xfId="1071" xr:uid="{00000000-0005-0000-0000-000003060000}"/>
    <cellStyle name="Migliaia 26 3 3 2" xfId="2405" xr:uid="{00000000-0005-0000-0000-000004060000}"/>
    <cellStyle name="Migliaia 26 3 4" xfId="2404" xr:uid="{00000000-0005-0000-0000-000005060000}"/>
    <cellStyle name="Migliaia 26 3 5" xfId="3785" xr:uid="{00000000-0005-0000-0000-000006060000}"/>
    <cellStyle name="Migliaia 26 4" xfId="1072" xr:uid="{00000000-0005-0000-0000-000007060000}"/>
    <cellStyle name="Migliaia 26 4 2" xfId="1073" xr:uid="{00000000-0005-0000-0000-000008060000}"/>
    <cellStyle name="Migliaia 26 4 2 2" xfId="2407" xr:uid="{00000000-0005-0000-0000-000009060000}"/>
    <cellStyle name="Migliaia 26 4 2 3" xfId="3786" xr:uid="{00000000-0005-0000-0000-00000A060000}"/>
    <cellStyle name="Migliaia 26 4 3" xfId="2406" xr:uid="{00000000-0005-0000-0000-00000B060000}"/>
    <cellStyle name="Migliaia 26 4 4" xfId="3787" xr:uid="{00000000-0005-0000-0000-00000C060000}"/>
    <cellStyle name="Migliaia 26 5" xfId="1074" xr:uid="{00000000-0005-0000-0000-00000D060000}"/>
    <cellStyle name="Migliaia 26 5 2" xfId="3788" xr:uid="{00000000-0005-0000-0000-00000E060000}"/>
    <cellStyle name="Migliaia 26 6" xfId="3789" xr:uid="{00000000-0005-0000-0000-00000F060000}"/>
    <cellStyle name="Migliaia 27" xfId="165" xr:uid="{00000000-0005-0000-0000-000010060000}"/>
    <cellStyle name="Migliaia 27 2" xfId="507" xr:uid="{00000000-0005-0000-0000-000011060000}"/>
    <cellStyle name="Migliaia 27 2 2" xfId="2408" xr:uid="{00000000-0005-0000-0000-000012060000}"/>
    <cellStyle name="Migliaia 27 2 2 2" xfId="3790" xr:uid="{00000000-0005-0000-0000-000013060000}"/>
    <cellStyle name="Migliaia 27 2 3" xfId="3791" xr:uid="{00000000-0005-0000-0000-000014060000}"/>
    <cellStyle name="Migliaia 27 3" xfId="1075" xr:uid="{00000000-0005-0000-0000-000015060000}"/>
    <cellStyle name="Migliaia 27 3 2" xfId="1076" xr:uid="{00000000-0005-0000-0000-000016060000}"/>
    <cellStyle name="Migliaia 27 3 2 2" xfId="3792" xr:uid="{00000000-0005-0000-0000-000017060000}"/>
    <cellStyle name="Migliaia 27 3 2 3" xfId="3793" xr:uid="{00000000-0005-0000-0000-000018060000}"/>
    <cellStyle name="Migliaia 27 3 3" xfId="1077" xr:uid="{00000000-0005-0000-0000-000019060000}"/>
    <cellStyle name="Migliaia 27 3 3 2" xfId="2410" xr:uid="{00000000-0005-0000-0000-00001A060000}"/>
    <cellStyle name="Migliaia 27 3 4" xfId="2409" xr:uid="{00000000-0005-0000-0000-00001B060000}"/>
    <cellStyle name="Migliaia 27 3 5" xfId="3794" xr:uid="{00000000-0005-0000-0000-00001C060000}"/>
    <cellStyle name="Migliaia 27 4" xfId="1078" xr:uid="{00000000-0005-0000-0000-00001D060000}"/>
    <cellStyle name="Migliaia 27 4 2" xfId="1079" xr:uid="{00000000-0005-0000-0000-00001E060000}"/>
    <cellStyle name="Migliaia 27 4 2 2" xfId="2412" xr:uid="{00000000-0005-0000-0000-00001F060000}"/>
    <cellStyle name="Migliaia 27 4 2 3" xfId="3795" xr:uid="{00000000-0005-0000-0000-000020060000}"/>
    <cellStyle name="Migliaia 27 4 3" xfId="2411" xr:uid="{00000000-0005-0000-0000-000021060000}"/>
    <cellStyle name="Migliaia 27 4 4" xfId="3796" xr:uid="{00000000-0005-0000-0000-000022060000}"/>
    <cellStyle name="Migliaia 27 5" xfId="1080" xr:uid="{00000000-0005-0000-0000-000023060000}"/>
    <cellStyle name="Migliaia 27 5 2" xfId="3797" xr:uid="{00000000-0005-0000-0000-000024060000}"/>
    <cellStyle name="Migliaia 27 6" xfId="3798" xr:uid="{00000000-0005-0000-0000-000025060000}"/>
    <cellStyle name="Migliaia 28" xfId="166" xr:uid="{00000000-0005-0000-0000-000026060000}"/>
    <cellStyle name="Migliaia 28 2" xfId="508" xr:uid="{00000000-0005-0000-0000-000027060000}"/>
    <cellStyle name="Migliaia 28 2 2" xfId="2413" xr:uid="{00000000-0005-0000-0000-000028060000}"/>
    <cellStyle name="Migliaia 28 2 2 2" xfId="3799" xr:uid="{00000000-0005-0000-0000-000029060000}"/>
    <cellStyle name="Migliaia 28 2 3" xfId="3800" xr:uid="{00000000-0005-0000-0000-00002A060000}"/>
    <cellStyle name="Migliaia 28 3" xfId="1081" xr:uid="{00000000-0005-0000-0000-00002B060000}"/>
    <cellStyle name="Migliaia 28 3 2" xfId="1082" xr:uid="{00000000-0005-0000-0000-00002C060000}"/>
    <cellStyle name="Migliaia 28 3 2 2" xfId="3801" xr:uid="{00000000-0005-0000-0000-00002D060000}"/>
    <cellStyle name="Migliaia 28 3 2 3" xfId="3802" xr:uid="{00000000-0005-0000-0000-00002E060000}"/>
    <cellStyle name="Migliaia 28 3 3" xfId="1083" xr:uid="{00000000-0005-0000-0000-00002F060000}"/>
    <cellStyle name="Migliaia 28 3 3 2" xfId="2415" xr:uid="{00000000-0005-0000-0000-000030060000}"/>
    <cellStyle name="Migliaia 28 3 4" xfId="2414" xr:uid="{00000000-0005-0000-0000-000031060000}"/>
    <cellStyle name="Migliaia 28 3 5" xfId="3803" xr:uid="{00000000-0005-0000-0000-000032060000}"/>
    <cellStyle name="Migliaia 28 4" xfId="1084" xr:uid="{00000000-0005-0000-0000-000033060000}"/>
    <cellStyle name="Migliaia 28 4 2" xfId="1085" xr:uid="{00000000-0005-0000-0000-000034060000}"/>
    <cellStyle name="Migliaia 28 4 2 2" xfId="2417" xr:uid="{00000000-0005-0000-0000-000035060000}"/>
    <cellStyle name="Migliaia 28 4 2 3" xfId="3804" xr:uid="{00000000-0005-0000-0000-000036060000}"/>
    <cellStyle name="Migliaia 28 4 3" xfId="2416" xr:uid="{00000000-0005-0000-0000-000037060000}"/>
    <cellStyle name="Migliaia 28 4 4" xfId="3805" xr:uid="{00000000-0005-0000-0000-000038060000}"/>
    <cellStyle name="Migliaia 28 5" xfId="1086" xr:uid="{00000000-0005-0000-0000-000039060000}"/>
    <cellStyle name="Migliaia 28 5 2" xfId="3806" xr:uid="{00000000-0005-0000-0000-00003A060000}"/>
    <cellStyle name="Migliaia 28 6" xfId="3807" xr:uid="{00000000-0005-0000-0000-00003B060000}"/>
    <cellStyle name="Migliaia 29" xfId="167" xr:uid="{00000000-0005-0000-0000-00003C060000}"/>
    <cellStyle name="Migliaia 29 2" xfId="509" xr:uid="{00000000-0005-0000-0000-00003D060000}"/>
    <cellStyle name="Migliaia 29 2 2" xfId="2418" xr:uid="{00000000-0005-0000-0000-00003E060000}"/>
    <cellStyle name="Migliaia 29 2 2 2" xfId="3808" xr:uid="{00000000-0005-0000-0000-00003F060000}"/>
    <cellStyle name="Migliaia 29 2 3" xfId="3809" xr:uid="{00000000-0005-0000-0000-000040060000}"/>
    <cellStyle name="Migliaia 29 3" xfId="1087" xr:uid="{00000000-0005-0000-0000-000041060000}"/>
    <cellStyle name="Migliaia 29 3 2" xfId="1088" xr:uid="{00000000-0005-0000-0000-000042060000}"/>
    <cellStyle name="Migliaia 29 3 2 2" xfId="3810" xr:uid="{00000000-0005-0000-0000-000043060000}"/>
    <cellStyle name="Migliaia 29 3 2 3" xfId="3811" xr:uid="{00000000-0005-0000-0000-000044060000}"/>
    <cellStyle name="Migliaia 29 3 3" xfId="1089" xr:uid="{00000000-0005-0000-0000-000045060000}"/>
    <cellStyle name="Migliaia 29 3 3 2" xfId="2420" xr:uid="{00000000-0005-0000-0000-000046060000}"/>
    <cellStyle name="Migliaia 29 3 4" xfId="2419" xr:uid="{00000000-0005-0000-0000-000047060000}"/>
    <cellStyle name="Migliaia 29 3 5" xfId="3812" xr:uid="{00000000-0005-0000-0000-000048060000}"/>
    <cellStyle name="Migliaia 29 4" xfId="1090" xr:uid="{00000000-0005-0000-0000-000049060000}"/>
    <cellStyle name="Migliaia 29 4 2" xfId="1091" xr:uid="{00000000-0005-0000-0000-00004A060000}"/>
    <cellStyle name="Migliaia 29 4 2 2" xfId="2422" xr:uid="{00000000-0005-0000-0000-00004B060000}"/>
    <cellStyle name="Migliaia 29 4 2 3" xfId="3813" xr:uid="{00000000-0005-0000-0000-00004C060000}"/>
    <cellStyle name="Migliaia 29 4 3" xfId="2421" xr:uid="{00000000-0005-0000-0000-00004D060000}"/>
    <cellStyle name="Migliaia 29 4 4" xfId="3814" xr:uid="{00000000-0005-0000-0000-00004E060000}"/>
    <cellStyle name="Migliaia 29 5" xfId="1092" xr:uid="{00000000-0005-0000-0000-00004F060000}"/>
    <cellStyle name="Migliaia 29 5 2" xfId="3815" xr:uid="{00000000-0005-0000-0000-000050060000}"/>
    <cellStyle name="Migliaia 29 6" xfId="3816" xr:uid="{00000000-0005-0000-0000-000051060000}"/>
    <cellStyle name="Migliaia 3" xfId="168" xr:uid="{00000000-0005-0000-0000-000052060000}"/>
    <cellStyle name="Migliaia 3 2" xfId="510" xr:uid="{00000000-0005-0000-0000-000053060000}"/>
    <cellStyle name="Migliaia 3 2 2" xfId="2423" xr:uid="{00000000-0005-0000-0000-000054060000}"/>
    <cellStyle name="Migliaia 3 2 2 2" xfId="3817" xr:uid="{00000000-0005-0000-0000-000055060000}"/>
    <cellStyle name="Migliaia 3 2 3" xfId="3818" xr:uid="{00000000-0005-0000-0000-000056060000}"/>
    <cellStyle name="Migliaia 3 3" xfId="1093" xr:uid="{00000000-0005-0000-0000-000057060000}"/>
    <cellStyle name="Migliaia 3 3 2" xfId="1094" xr:uid="{00000000-0005-0000-0000-000058060000}"/>
    <cellStyle name="Migliaia 3 3 2 2" xfId="3819" xr:uid="{00000000-0005-0000-0000-000059060000}"/>
    <cellStyle name="Migliaia 3 3 2 3" xfId="3820" xr:uid="{00000000-0005-0000-0000-00005A060000}"/>
    <cellStyle name="Migliaia 3 3 3" xfId="1095" xr:uid="{00000000-0005-0000-0000-00005B060000}"/>
    <cellStyle name="Migliaia 3 3 3 2" xfId="2425" xr:uid="{00000000-0005-0000-0000-00005C060000}"/>
    <cellStyle name="Migliaia 3 3 4" xfId="2424" xr:uid="{00000000-0005-0000-0000-00005D060000}"/>
    <cellStyle name="Migliaia 3 3 5" xfId="3821" xr:uid="{00000000-0005-0000-0000-00005E060000}"/>
    <cellStyle name="Migliaia 3 4" xfId="1096" xr:uid="{00000000-0005-0000-0000-00005F060000}"/>
    <cellStyle name="Migliaia 3 4 2" xfId="1097" xr:uid="{00000000-0005-0000-0000-000060060000}"/>
    <cellStyle name="Migliaia 3 4 2 2" xfId="2427" xr:uid="{00000000-0005-0000-0000-000061060000}"/>
    <cellStyle name="Migliaia 3 4 2 3" xfId="3822" xr:uid="{00000000-0005-0000-0000-000062060000}"/>
    <cellStyle name="Migliaia 3 4 3" xfId="2426" xr:uid="{00000000-0005-0000-0000-000063060000}"/>
    <cellStyle name="Migliaia 3 4 4" xfId="3823" xr:uid="{00000000-0005-0000-0000-000064060000}"/>
    <cellStyle name="Migliaia 3 5" xfId="1098" xr:uid="{00000000-0005-0000-0000-000065060000}"/>
    <cellStyle name="Migliaia 3 5 2" xfId="3824" xr:uid="{00000000-0005-0000-0000-000066060000}"/>
    <cellStyle name="Migliaia 3 6" xfId="3825" xr:uid="{00000000-0005-0000-0000-000067060000}"/>
    <cellStyle name="Migliaia 30" xfId="169" xr:uid="{00000000-0005-0000-0000-000068060000}"/>
    <cellStyle name="Migliaia 30 2" xfId="511" xr:uid="{00000000-0005-0000-0000-000069060000}"/>
    <cellStyle name="Migliaia 30 2 2" xfId="2428" xr:uid="{00000000-0005-0000-0000-00006A060000}"/>
    <cellStyle name="Migliaia 30 2 2 2" xfId="3826" xr:uid="{00000000-0005-0000-0000-00006B060000}"/>
    <cellStyle name="Migliaia 30 2 3" xfId="3827" xr:uid="{00000000-0005-0000-0000-00006C060000}"/>
    <cellStyle name="Migliaia 30 3" xfId="1099" xr:uid="{00000000-0005-0000-0000-00006D060000}"/>
    <cellStyle name="Migliaia 30 3 2" xfId="1100" xr:uid="{00000000-0005-0000-0000-00006E060000}"/>
    <cellStyle name="Migliaia 30 3 2 2" xfId="3828" xr:uid="{00000000-0005-0000-0000-00006F060000}"/>
    <cellStyle name="Migliaia 30 3 2 3" xfId="3829" xr:uid="{00000000-0005-0000-0000-000070060000}"/>
    <cellStyle name="Migliaia 30 3 3" xfId="1101" xr:uid="{00000000-0005-0000-0000-000071060000}"/>
    <cellStyle name="Migliaia 30 3 3 2" xfId="2430" xr:uid="{00000000-0005-0000-0000-000072060000}"/>
    <cellStyle name="Migliaia 30 3 4" xfId="2429" xr:uid="{00000000-0005-0000-0000-000073060000}"/>
    <cellStyle name="Migliaia 30 3 5" xfId="3830" xr:uid="{00000000-0005-0000-0000-000074060000}"/>
    <cellStyle name="Migliaia 30 4" xfId="1102" xr:uid="{00000000-0005-0000-0000-000075060000}"/>
    <cellStyle name="Migliaia 30 4 2" xfId="1103" xr:uid="{00000000-0005-0000-0000-000076060000}"/>
    <cellStyle name="Migliaia 30 4 2 2" xfId="2432" xr:uid="{00000000-0005-0000-0000-000077060000}"/>
    <cellStyle name="Migliaia 30 4 2 3" xfId="3831" xr:uid="{00000000-0005-0000-0000-000078060000}"/>
    <cellStyle name="Migliaia 30 4 3" xfId="2431" xr:uid="{00000000-0005-0000-0000-000079060000}"/>
    <cellStyle name="Migliaia 30 4 4" xfId="3832" xr:uid="{00000000-0005-0000-0000-00007A060000}"/>
    <cellStyle name="Migliaia 30 5" xfId="1104" xr:uid="{00000000-0005-0000-0000-00007B060000}"/>
    <cellStyle name="Migliaia 30 5 2" xfId="3833" xr:uid="{00000000-0005-0000-0000-00007C060000}"/>
    <cellStyle name="Migliaia 30 6" xfId="3834" xr:uid="{00000000-0005-0000-0000-00007D060000}"/>
    <cellStyle name="Migliaia 31" xfId="170" xr:uid="{00000000-0005-0000-0000-00007E060000}"/>
    <cellStyle name="Migliaia 31 2" xfId="512" xr:uid="{00000000-0005-0000-0000-00007F060000}"/>
    <cellStyle name="Migliaia 31 2 2" xfId="2433" xr:uid="{00000000-0005-0000-0000-000080060000}"/>
    <cellStyle name="Migliaia 31 2 2 2" xfId="3835" xr:uid="{00000000-0005-0000-0000-000081060000}"/>
    <cellStyle name="Migliaia 31 2 3" xfId="3836" xr:uid="{00000000-0005-0000-0000-000082060000}"/>
    <cellStyle name="Migliaia 31 3" xfId="1105" xr:uid="{00000000-0005-0000-0000-000083060000}"/>
    <cellStyle name="Migliaia 31 3 2" xfId="1106" xr:uid="{00000000-0005-0000-0000-000084060000}"/>
    <cellStyle name="Migliaia 31 3 2 2" xfId="3837" xr:uid="{00000000-0005-0000-0000-000085060000}"/>
    <cellStyle name="Migliaia 31 3 2 3" xfId="3838" xr:uid="{00000000-0005-0000-0000-000086060000}"/>
    <cellStyle name="Migliaia 31 3 3" xfId="1107" xr:uid="{00000000-0005-0000-0000-000087060000}"/>
    <cellStyle name="Migliaia 31 3 3 2" xfId="2435" xr:uid="{00000000-0005-0000-0000-000088060000}"/>
    <cellStyle name="Migliaia 31 3 4" xfId="2434" xr:uid="{00000000-0005-0000-0000-000089060000}"/>
    <cellStyle name="Migliaia 31 3 5" xfId="3839" xr:uid="{00000000-0005-0000-0000-00008A060000}"/>
    <cellStyle name="Migliaia 31 4" xfId="1108" xr:uid="{00000000-0005-0000-0000-00008B060000}"/>
    <cellStyle name="Migliaia 31 4 2" xfId="1109" xr:uid="{00000000-0005-0000-0000-00008C060000}"/>
    <cellStyle name="Migliaia 31 4 2 2" xfId="2437" xr:uid="{00000000-0005-0000-0000-00008D060000}"/>
    <cellStyle name="Migliaia 31 4 2 3" xfId="3840" xr:uid="{00000000-0005-0000-0000-00008E060000}"/>
    <cellStyle name="Migliaia 31 4 3" xfId="2436" xr:uid="{00000000-0005-0000-0000-00008F060000}"/>
    <cellStyle name="Migliaia 31 4 4" xfId="3841" xr:uid="{00000000-0005-0000-0000-000090060000}"/>
    <cellStyle name="Migliaia 31 5" xfId="1110" xr:uid="{00000000-0005-0000-0000-000091060000}"/>
    <cellStyle name="Migliaia 31 5 2" xfId="3842" xr:uid="{00000000-0005-0000-0000-000092060000}"/>
    <cellStyle name="Migliaia 31 6" xfId="3843" xr:uid="{00000000-0005-0000-0000-000093060000}"/>
    <cellStyle name="Migliaia 32" xfId="171" xr:uid="{00000000-0005-0000-0000-000094060000}"/>
    <cellStyle name="Migliaia 32 2" xfId="513" xr:uid="{00000000-0005-0000-0000-000095060000}"/>
    <cellStyle name="Migliaia 32 2 2" xfId="2438" xr:uid="{00000000-0005-0000-0000-000096060000}"/>
    <cellStyle name="Migliaia 32 2 2 2" xfId="3844" xr:uid="{00000000-0005-0000-0000-000097060000}"/>
    <cellStyle name="Migliaia 32 2 3" xfId="3845" xr:uid="{00000000-0005-0000-0000-000098060000}"/>
    <cellStyle name="Migliaia 32 3" xfId="1111" xr:uid="{00000000-0005-0000-0000-000099060000}"/>
    <cellStyle name="Migliaia 32 3 2" xfId="1112" xr:uid="{00000000-0005-0000-0000-00009A060000}"/>
    <cellStyle name="Migliaia 32 3 2 2" xfId="3846" xr:uid="{00000000-0005-0000-0000-00009B060000}"/>
    <cellStyle name="Migliaia 32 3 2 3" xfId="3847" xr:uid="{00000000-0005-0000-0000-00009C060000}"/>
    <cellStyle name="Migliaia 32 3 3" xfId="1113" xr:uid="{00000000-0005-0000-0000-00009D060000}"/>
    <cellStyle name="Migliaia 32 3 3 2" xfId="2440" xr:uid="{00000000-0005-0000-0000-00009E060000}"/>
    <cellStyle name="Migliaia 32 3 4" xfId="2439" xr:uid="{00000000-0005-0000-0000-00009F060000}"/>
    <cellStyle name="Migliaia 32 3 5" xfId="3848" xr:uid="{00000000-0005-0000-0000-0000A0060000}"/>
    <cellStyle name="Migliaia 32 4" xfId="1114" xr:uid="{00000000-0005-0000-0000-0000A1060000}"/>
    <cellStyle name="Migliaia 32 4 2" xfId="1115" xr:uid="{00000000-0005-0000-0000-0000A2060000}"/>
    <cellStyle name="Migliaia 32 4 2 2" xfId="2442" xr:uid="{00000000-0005-0000-0000-0000A3060000}"/>
    <cellStyle name="Migliaia 32 4 2 3" xfId="3849" xr:uid="{00000000-0005-0000-0000-0000A4060000}"/>
    <cellStyle name="Migliaia 32 4 3" xfId="2441" xr:uid="{00000000-0005-0000-0000-0000A5060000}"/>
    <cellStyle name="Migliaia 32 4 4" xfId="3850" xr:uid="{00000000-0005-0000-0000-0000A6060000}"/>
    <cellStyle name="Migliaia 32 5" xfId="1116" xr:uid="{00000000-0005-0000-0000-0000A7060000}"/>
    <cellStyle name="Migliaia 32 5 2" xfId="3851" xr:uid="{00000000-0005-0000-0000-0000A8060000}"/>
    <cellStyle name="Migliaia 32 6" xfId="3852" xr:uid="{00000000-0005-0000-0000-0000A9060000}"/>
    <cellStyle name="Migliaia 33" xfId="172" xr:uid="{00000000-0005-0000-0000-0000AA060000}"/>
    <cellStyle name="Migliaia 33 2" xfId="514" xr:uid="{00000000-0005-0000-0000-0000AB060000}"/>
    <cellStyle name="Migliaia 33 2 2" xfId="2443" xr:uid="{00000000-0005-0000-0000-0000AC060000}"/>
    <cellStyle name="Migliaia 33 2 2 2" xfId="3853" xr:uid="{00000000-0005-0000-0000-0000AD060000}"/>
    <cellStyle name="Migliaia 33 2 3" xfId="3854" xr:uid="{00000000-0005-0000-0000-0000AE060000}"/>
    <cellStyle name="Migliaia 33 3" xfId="1117" xr:uid="{00000000-0005-0000-0000-0000AF060000}"/>
    <cellStyle name="Migliaia 33 3 2" xfId="1118" xr:uid="{00000000-0005-0000-0000-0000B0060000}"/>
    <cellStyle name="Migliaia 33 3 2 2" xfId="3855" xr:uid="{00000000-0005-0000-0000-0000B1060000}"/>
    <cellStyle name="Migliaia 33 3 2 3" xfId="3856" xr:uid="{00000000-0005-0000-0000-0000B2060000}"/>
    <cellStyle name="Migliaia 33 3 3" xfId="1119" xr:uid="{00000000-0005-0000-0000-0000B3060000}"/>
    <cellStyle name="Migliaia 33 3 3 2" xfId="2445" xr:uid="{00000000-0005-0000-0000-0000B4060000}"/>
    <cellStyle name="Migliaia 33 3 4" xfId="2444" xr:uid="{00000000-0005-0000-0000-0000B5060000}"/>
    <cellStyle name="Migliaia 33 3 5" xfId="3857" xr:uid="{00000000-0005-0000-0000-0000B6060000}"/>
    <cellStyle name="Migliaia 33 4" xfId="1120" xr:uid="{00000000-0005-0000-0000-0000B7060000}"/>
    <cellStyle name="Migliaia 33 4 2" xfId="1121" xr:uid="{00000000-0005-0000-0000-0000B8060000}"/>
    <cellStyle name="Migliaia 33 4 2 2" xfId="2447" xr:uid="{00000000-0005-0000-0000-0000B9060000}"/>
    <cellStyle name="Migliaia 33 4 2 3" xfId="3858" xr:uid="{00000000-0005-0000-0000-0000BA060000}"/>
    <cellStyle name="Migliaia 33 4 3" xfId="2446" xr:uid="{00000000-0005-0000-0000-0000BB060000}"/>
    <cellStyle name="Migliaia 33 4 4" xfId="3859" xr:uid="{00000000-0005-0000-0000-0000BC060000}"/>
    <cellStyle name="Migliaia 33 5" xfId="1122" xr:uid="{00000000-0005-0000-0000-0000BD060000}"/>
    <cellStyle name="Migliaia 33 5 2" xfId="3860" xr:uid="{00000000-0005-0000-0000-0000BE060000}"/>
    <cellStyle name="Migliaia 33 6" xfId="3861" xr:uid="{00000000-0005-0000-0000-0000BF060000}"/>
    <cellStyle name="Migliaia 34" xfId="173" xr:uid="{00000000-0005-0000-0000-0000C0060000}"/>
    <cellStyle name="Migliaia 34 2" xfId="515" xr:uid="{00000000-0005-0000-0000-0000C1060000}"/>
    <cellStyle name="Migliaia 34 2 2" xfId="2448" xr:uid="{00000000-0005-0000-0000-0000C2060000}"/>
    <cellStyle name="Migliaia 34 2 2 2" xfId="3862" xr:uid="{00000000-0005-0000-0000-0000C3060000}"/>
    <cellStyle name="Migliaia 34 2 3" xfId="3863" xr:uid="{00000000-0005-0000-0000-0000C4060000}"/>
    <cellStyle name="Migliaia 34 3" xfId="1123" xr:uid="{00000000-0005-0000-0000-0000C5060000}"/>
    <cellStyle name="Migliaia 34 3 2" xfId="1124" xr:uid="{00000000-0005-0000-0000-0000C6060000}"/>
    <cellStyle name="Migliaia 34 3 2 2" xfId="3864" xr:uid="{00000000-0005-0000-0000-0000C7060000}"/>
    <cellStyle name="Migliaia 34 3 2 3" xfId="3865" xr:uid="{00000000-0005-0000-0000-0000C8060000}"/>
    <cellStyle name="Migliaia 34 3 3" xfId="1125" xr:uid="{00000000-0005-0000-0000-0000C9060000}"/>
    <cellStyle name="Migliaia 34 3 3 2" xfId="2450" xr:uid="{00000000-0005-0000-0000-0000CA060000}"/>
    <cellStyle name="Migliaia 34 3 4" xfId="2449" xr:uid="{00000000-0005-0000-0000-0000CB060000}"/>
    <cellStyle name="Migliaia 34 3 5" xfId="3866" xr:uid="{00000000-0005-0000-0000-0000CC060000}"/>
    <cellStyle name="Migliaia 34 4" xfId="1126" xr:uid="{00000000-0005-0000-0000-0000CD060000}"/>
    <cellStyle name="Migliaia 34 4 2" xfId="1127" xr:uid="{00000000-0005-0000-0000-0000CE060000}"/>
    <cellStyle name="Migliaia 34 4 2 2" xfId="2452" xr:uid="{00000000-0005-0000-0000-0000CF060000}"/>
    <cellStyle name="Migliaia 34 4 2 3" xfId="3867" xr:uid="{00000000-0005-0000-0000-0000D0060000}"/>
    <cellStyle name="Migliaia 34 4 3" xfId="2451" xr:uid="{00000000-0005-0000-0000-0000D1060000}"/>
    <cellStyle name="Migliaia 34 4 4" xfId="3868" xr:uid="{00000000-0005-0000-0000-0000D2060000}"/>
    <cellStyle name="Migliaia 34 5" xfId="1128" xr:uid="{00000000-0005-0000-0000-0000D3060000}"/>
    <cellStyle name="Migliaia 34 5 2" xfId="3869" xr:uid="{00000000-0005-0000-0000-0000D4060000}"/>
    <cellStyle name="Migliaia 34 6" xfId="3870" xr:uid="{00000000-0005-0000-0000-0000D5060000}"/>
    <cellStyle name="Migliaia 35" xfId="174" xr:uid="{00000000-0005-0000-0000-0000D6060000}"/>
    <cellStyle name="Migliaia 35 2" xfId="516" xr:uid="{00000000-0005-0000-0000-0000D7060000}"/>
    <cellStyle name="Migliaia 35 2 2" xfId="2453" xr:uid="{00000000-0005-0000-0000-0000D8060000}"/>
    <cellStyle name="Migliaia 35 2 2 2" xfId="3871" xr:uid="{00000000-0005-0000-0000-0000D9060000}"/>
    <cellStyle name="Migliaia 35 2 3" xfId="3872" xr:uid="{00000000-0005-0000-0000-0000DA060000}"/>
    <cellStyle name="Migliaia 35 3" xfId="1129" xr:uid="{00000000-0005-0000-0000-0000DB060000}"/>
    <cellStyle name="Migliaia 35 3 2" xfId="1130" xr:uid="{00000000-0005-0000-0000-0000DC060000}"/>
    <cellStyle name="Migliaia 35 3 2 2" xfId="3873" xr:uid="{00000000-0005-0000-0000-0000DD060000}"/>
    <cellStyle name="Migliaia 35 3 2 3" xfId="3874" xr:uid="{00000000-0005-0000-0000-0000DE060000}"/>
    <cellStyle name="Migliaia 35 3 3" xfId="1131" xr:uid="{00000000-0005-0000-0000-0000DF060000}"/>
    <cellStyle name="Migliaia 35 3 3 2" xfId="2455" xr:uid="{00000000-0005-0000-0000-0000E0060000}"/>
    <cellStyle name="Migliaia 35 3 4" xfId="2454" xr:uid="{00000000-0005-0000-0000-0000E1060000}"/>
    <cellStyle name="Migliaia 35 3 5" xfId="3875" xr:uid="{00000000-0005-0000-0000-0000E2060000}"/>
    <cellStyle name="Migliaia 35 4" xfId="1132" xr:uid="{00000000-0005-0000-0000-0000E3060000}"/>
    <cellStyle name="Migliaia 35 4 2" xfId="1133" xr:uid="{00000000-0005-0000-0000-0000E4060000}"/>
    <cellStyle name="Migliaia 35 4 2 2" xfId="2457" xr:uid="{00000000-0005-0000-0000-0000E5060000}"/>
    <cellStyle name="Migliaia 35 4 2 3" xfId="3876" xr:uid="{00000000-0005-0000-0000-0000E6060000}"/>
    <cellStyle name="Migliaia 35 4 3" xfId="2456" xr:uid="{00000000-0005-0000-0000-0000E7060000}"/>
    <cellStyle name="Migliaia 35 4 4" xfId="3877" xr:uid="{00000000-0005-0000-0000-0000E8060000}"/>
    <cellStyle name="Migliaia 35 5" xfId="1134" xr:uid="{00000000-0005-0000-0000-0000E9060000}"/>
    <cellStyle name="Migliaia 35 5 2" xfId="3878" xr:uid="{00000000-0005-0000-0000-0000EA060000}"/>
    <cellStyle name="Migliaia 35 6" xfId="3879" xr:uid="{00000000-0005-0000-0000-0000EB060000}"/>
    <cellStyle name="Migliaia 36" xfId="175" xr:uid="{00000000-0005-0000-0000-0000EC060000}"/>
    <cellStyle name="Migliaia 36 2" xfId="517" xr:uid="{00000000-0005-0000-0000-0000ED060000}"/>
    <cellStyle name="Migliaia 36 2 2" xfId="2458" xr:uid="{00000000-0005-0000-0000-0000EE060000}"/>
    <cellStyle name="Migliaia 36 2 2 2" xfId="3880" xr:uid="{00000000-0005-0000-0000-0000EF060000}"/>
    <cellStyle name="Migliaia 36 2 3" xfId="3881" xr:uid="{00000000-0005-0000-0000-0000F0060000}"/>
    <cellStyle name="Migliaia 36 3" xfId="1135" xr:uid="{00000000-0005-0000-0000-0000F1060000}"/>
    <cellStyle name="Migliaia 36 3 2" xfId="1136" xr:uid="{00000000-0005-0000-0000-0000F2060000}"/>
    <cellStyle name="Migliaia 36 3 2 2" xfId="3882" xr:uid="{00000000-0005-0000-0000-0000F3060000}"/>
    <cellStyle name="Migliaia 36 3 2 3" xfId="3883" xr:uid="{00000000-0005-0000-0000-0000F4060000}"/>
    <cellStyle name="Migliaia 36 3 3" xfId="1137" xr:uid="{00000000-0005-0000-0000-0000F5060000}"/>
    <cellStyle name="Migliaia 36 3 3 2" xfId="2460" xr:uid="{00000000-0005-0000-0000-0000F6060000}"/>
    <cellStyle name="Migliaia 36 3 4" xfId="2459" xr:uid="{00000000-0005-0000-0000-0000F7060000}"/>
    <cellStyle name="Migliaia 36 3 5" xfId="3884" xr:uid="{00000000-0005-0000-0000-0000F8060000}"/>
    <cellStyle name="Migliaia 36 4" xfId="1138" xr:uid="{00000000-0005-0000-0000-0000F9060000}"/>
    <cellStyle name="Migliaia 36 4 2" xfId="1139" xr:uid="{00000000-0005-0000-0000-0000FA060000}"/>
    <cellStyle name="Migliaia 36 4 2 2" xfId="2462" xr:uid="{00000000-0005-0000-0000-0000FB060000}"/>
    <cellStyle name="Migliaia 36 4 2 3" xfId="3885" xr:uid="{00000000-0005-0000-0000-0000FC060000}"/>
    <cellStyle name="Migliaia 36 4 3" xfId="2461" xr:uid="{00000000-0005-0000-0000-0000FD060000}"/>
    <cellStyle name="Migliaia 36 4 4" xfId="3886" xr:uid="{00000000-0005-0000-0000-0000FE060000}"/>
    <cellStyle name="Migliaia 36 5" xfId="1140" xr:uid="{00000000-0005-0000-0000-0000FF060000}"/>
    <cellStyle name="Migliaia 36 5 2" xfId="3887" xr:uid="{00000000-0005-0000-0000-000000070000}"/>
    <cellStyle name="Migliaia 36 6" xfId="3888" xr:uid="{00000000-0005-0000-0000-000001070000}"/>
    <cellStyle name="Migliaia 37" xfId="176" xr:uid="{00000000-0005-0000-0000-000002070000}"/>
    <cellStyle name="Migliaia 37 2" xfId="518" xr:uid="{00000000-0005-0000-0000-000003070000}"/>
    <cellStyle name="Migliaia 37 2 2" xfId="2463" xr:uid="{00000000-0005-0000-0000-000004070000}"/>
    <cellStyle name="Migliaia 37 2 2 2" xfId="3889" xr:uid="{00000000-0005-0000-0000-000005070000}"/>
    <cellStyle name="Migliaia 37 2 3" xfId="3890" xr:uid="{00000000-0005-0000-0000-000006070000}"/>
    <cellStyle name="Migliaia 37 3" xfId="1141" xr:uid="{00000000-0005-0000-0000-000007070000}"/>
    <cellStyle name="Migliaia 37 3 2" xfId="1142" xr:uid="{00000000-0005-0000-0000-000008070000}"/>
    <cellStyle name="Migliaia 37 3 2 2" xfId="3891" xr:uid="{00000000-0005-0000-0000-000009070000}"/>
    <cellStyle name="Migliaia 37 3 2 3" xfId="3892" xr:uid="{00000000-0005-0000-0000-00000A070000}"/>
    <cellStyle name="Migliaia 37 3 3" xfId="1143" xr:uid="{00000000-0005-0000-0000-00000B070000}"/>
    <cellStyle name="Migliaia 37 3 3 2" xfId="2465" xr:uid="{00000000-0005-0000-0000-00000C070000}"/>
    <cellStyle name="Migliaia 37 3 4" xfId="2464" xr:uid="{00000000-0005-0000-0000-00000D070000}"/>
    <cellStyle name="Migliaia 37 3 5" xfId="3893" xr:uid="{00000000-0005-0000-0000-00000E070000}"/>
    <cellStyle name="Migliaia 37 4" xfId="1144" xr:uid="{00000000-0005-0000-0000-00000F070000}"/>
    <cellStyle name="Migliaia 37 4 2" xfId="1145" xr:uid="{00000000-0005-0000-0000-000010070000}"/>
    <cellStyle name="Migliaia 37 4 2 2" xfId="2467" xr:uid="{00000000-0005-0000-0000-000011070000}"/>
    <cellStyle name="Migliaia 37 4 2 3" xfId="3894" xr:uid="{00000000-0005-0000-0000-000012070000}"/>
    <cellStyle name="Migliaia 37 4 3" xfId="2466" xr:uid="{00000000-0005-0000-0000-000013070000}"/>
    <cellStyle name="Migliaia 37 4 4" xfId="3895" xr:uid="{00000000-0005-0000-0000-000014070000}"/>
    <cellStyle name="Migliaia 37 5" xfId="1146" xr:uid="{00000000-0005-0000-0000-000015070000}"/>
    <cellStyle name="Migliaia 37 5 2" xfId="3896" xr:uid="{00000000-0005-0000-0000-000016070000}"/>
    <cellStyle name="Migliaia 37 6" xfId="3897" xr:uid="{00000000-0005-0000-0000-000017070000}"/>
    <cellStyle name="Migliaia 38" xfId="177" xr:uid="{00000000-0005-0000-0000-000018070000}"/>
    <cellStyle name="Migliaia 38 2" xfId="519" xr:uid="{00000000-0005-0000-0000-000019070000}"/>
    <cellStyle name="Migliaia 38 2 2" xfId="2468" xr:uid="{00000000-0005-0000-0000-00001A070000}"/>
    <cellStyle name="Migliaia 38 2 2 2" xfId="3898" xr:uid="{00000000-0005-0000-0000-00001B070000}"/>
    <cellStyle name="Migliaia 38 2 3" xfId="3899" xr:uid="{00000000-0005-0000-0000-00001C070000}"/>
    <cellStyle name="Migliaia 38 3" xfId="1147" xr:uid="{00000000-0005-0000-0000-00001D070000}"/>
    <cellStyle name="Migliaia 38 3 2" xfId="1148" xr:uid="{00000000-0005-0000-0000-00001E070000}"/>
    <cellStyle name="Migliaia 38 3 2 2" xfId="3900" xr:uid="{00000000-0005-0000-0000-00001F070000}"/>
    <cellStyle name="Migliaia 38 3 2 3" xfId="3901" xr:uid="{00000000-0005-0000-0000-000020070000}"/>
    <cellStyle name="Migliaia 38 3 3" xfId="1149" xr:uid="{00000000-0005-0000-0000-000021070000}"/>
    <cellStyle name="Migliaia 38 3 3 2" xfId="2470" xr:uid="{00000000-0005-0000-0000-000022070000}"/>
    <cellStyle name="Migliaia 38 3 4" xfId="2469" xr:uid="{00000000-0005-0000-0000-000023070000}"/>
    <cellStyle name="Migliaia 38 3 5" xfId="3902" xr:uid="{00000000-0005-0000-0000-000024070000}"/>
    <cellStyle name="Migliaia 38 4" xfId="1150" xr:uid="{00000000-0005-0000-0000-000025070000}"/>
    <cellStyle name="Migliaia 38 4 2" xfId="1151" xr:uid="{00000000-0005-0000-0000-000026070000}"/>
    <cellStyle name="Migliaia 38 4 2 2" xfId="2472" xr:uid="{00000000-0005-0000-0000-000027070000}"/>
    <cellStyle name="Migliaia 38 4 2 3" xfId="3903" xr:uid="{00000000-0005-0000-0000-000028070000}"/>
    <cellStyle name="Migliaia 38 4 3" xfId="2471" xr:uid="{00000000-0005-0000-0000-000029070000}"/>
    <cellStyle name="Migliaia 38 4 4" xfId="3904" xr:uid="{00000000-0005-0000-0000-00002A070000}"/>
    <cellStyle name="Migliaia 38 5" xfId="1152" xr:uid="{00000000-0005-0000-0000-00002B070000}"/>
    <cellStyle name="Migliaia 38 5 2" xfId="3905" xr:uid="{00000000-0005-0000-0000-00002C070000}"/>
    <cellStyle name="Migliaia 38 6" xfId="3906" xr:uid="{00000000-0005-0000-0000-00002D070000}"/>
    <cellStyle name="Migliaia 39" xfId="178" xr:uid="{00000000-0005-0000-0000-00002E070000}"/>
    <cellStyle name="Migliaia 39 2" xfId="520" xr:uid="{00000000-0005-0000-0000-00002F070000}"/>
    <cellStyle name="Migliaia 39 2 2" xfId="2473" xr:uid="{00000000-0005-0000-0000-000030070000}"/>
    <cellStyle name="Migliaia 39 2 2 2" xfId="3907" xr:uid="{00000000-0005-0000-0000-000031070000}"/>
    <cellStyle name="Migliaia 39 2 3" xfId="3908" xr:uid="{00000000-0005-0000-0000-000032070000}"/>
    <cellStyle name="Migliaia 39 3" xfId="1153" xr:uid="{00000000-0005-0000-0000-000033070000}"/>
    <cellStyle name="Migliaia 39 3 2" xfId="1154" xr:uid="{00000000-0005-0000-0000-000034070000}"/>
    <cellStyle name="Migliaia 39 3 2 2" xfId="3909" xr:uid="{00000000-0005-0000-0000-000035070000}"/>
    <cellStyle name="Migliaia 39 3 2 3" xfId="3910" xr:uid="{00000000-0005-0000-0000-000036070000}"/>
    <cellStyle name="Migliaia 39 3 3" xfId="1155" xr:uid="{00000000-0005-0000-0000-000037070000}"/>
    <cellStyle name="Migliaia 39 3 3 2" xfId="2475" xr:uid="{00000000-0005-0000-0000-000038070000}"/>
    <cellStyle name="Migliaia 39 3 4" xfId="2474" xr:uid="{00000000-0005-0000-0000-000039070000}"/>
    <cellStyle name="Migliaia 39 3 5" xfId="3911" xr:uid="{00000000-0005-0000-0000-00003A070000}"/>
    <cellStyle name="Migliaia 39 4" xfId="1156" xr:uid="{00000000-0005-0000-0000-00003B070000}"/>
    <cellStyle name="Migliaia 39 4 2" xfId="1157" xr:uid="{00000000-0005-0000-0000-00003C070000}"/>
    <cellStyle name="Migliaia 39 4 2 2" xfId="2477" xr:uid="{00000000-0005-0000-0000-00003D070000}"/>
    <cellStyle name="Migliaia 39 4 2 3" xfId="3912" xr:uid="{00000000-0005-0000-0000-00003E070000}"/>
    <cellStyle name="Migliaia 39 4 3" xfId="2476" xr:uid="{00000000-0005-0000-0000-00003F070000}"/>
    <cellStyle name="Migliaia 39 4 4" xfId="3913" xr:uid="{00000000-0005-0000-0000-000040070000}"/>
    <cellStyle name="Migliaia 39 5" xfId="1158" xr:uid="{00000000-0005-0000-0000-000041070000}"/>
    <cellStyle name="Migliaia 39 5 2" xfId="3914" xr:uid="{00000000-0005-0000-0000-000042070000}"/>
    <cellStyle name="Migliaia 39 6" xfId="3915" xr:uid="{00000000-0005-0000-0000-000043070000}"/>
    <cellStyle name="Migliaia 4" xfId="179" xr:uid="{00000000-0005-0000-0000-000044070000}"/>
    <cellStyle name="Migliaia 4 2" xfId="521" xr:uid="{00000000-0005-0000-0000-000045070000}"/>
    <cellStyle name="Migliaia 4 2 2" xfId="2478" xr:uid="{00000000-0005-0000-0000-000046070000}"/>
    <cellStyle name="Migliaia 4 2 2 2" xfId="3916" xr:uid="{00000000-0005-0000-0000-000047070000}"/>
    <cellStyle name="Migliaia 4 2 3" xfId="3917" xr:uid="{00000000-0005-0000-0000-000048070000}"/>
    <cellStyle name="Migliaia 4 3" xfId="1159" xr:uid="{00000000-0005-0000-0000-000049070000}"/>
    <cellStyle name="Migliaia 4 3 2" xfId="1160" xr:uid="{00000000-0005-0000-0000-00004A070000}"/>
    <cellStyle name="Migliaia 4 3 2 2" xfId="3918" xr:uid="{00000000-0005-0000-0000-00004B070000}"/>
    <cellStyle name="Migliaia 4 3 2 3" xfId="3919" xr:uid="{00000000-0005-0000-0000-00004C070000}"/>
    <cellStyle name="Migliaia 4 3 3" xfId="1161" xr:uid="{00000000-0005-0000-0000-00004D070000}"/>
    <cellStyle name="Migliaia 4 3 3 2" xfId="2480" xr:uid="{00000000-0005-0000-0000-00004E070000}"/>
    <cellStyle name="Migliaia 4 3 4" xfId="2479" xr:uid="{00000000-0005-0000-0000-00004F070000}"/>
    <cellStyle name="Migliaia 4 3 5" xfId="3920" xr:uid="{00000000-0005-0000-0000-000050070000}"/>
    <cellStyle name="Migliaia 4 4" xfId="1162" xr:uid="{00000000-0005-0000-0000-000051070000}"/>
    <cellStyle name="Migliaia 4 4 2" xfId="1163" xr:uid="{00000000-0005-0000-0000-000052070000}"/>
    <cellStyle name="Migliaia 4 4 2 2" xfId="2482" xr:uid="{00000000-0005-0000-0000-000053070000}"/>
    <cellStyle name="Migliaia 4 4 2 3" xfId="3921" xr:uid="{00000000-0005-0000-0000-000054070000}"/>
    <cellStyle name="Migliaia 4 4 3" xfId="2481" xr:uid="{00000000-0005-0000-0000-000055070000}"/>
    <cellStyle name="Migliaia 4 4 4" xfId="3922" xr:uid="{00000000-0005-0000-0000-000056070000}"/>
    <cellStyle name="Migliaia 4 5" xfId="1164" xr:uid="{00000000-0005-0000-0000-000057070000}"/>
    <cellStyle name="Migliaia 4 5 2" xfId="3923" xr:uid="{00000000-0005-0000-0000-000058070000}"/>
    <cellStyle name="Migliaia 4 6" xfId="3924" xr:uid="{00000000-0005-0000-0000-000059070000}"/>
    <cellStyle name="Migliaia 40" xfId="180" xr:uid="{00000000-0005-0000-0000-00005A070000}"/>
    <cellStyle name="Migliaia 40 2" xfId="522" xr:uid="{00000000-0005-0000-0000-00005B070000}"/>
    <cellStyle name="Migliaia 40 2 2" xfId="2483" xr:uid="{00000000-0005-0000-0000-00005C070000}"/>
    <cellStyle name="Migliaia 40 2 2 2" xfId="3925" xr:uid="{00000000-0005-0000-0000-00005D070000}"/>
    <cellStyle name="Migliaia 40 2 3" xfId="3926" xr:uid="{00000000-0005-0000-0000-00005E070000}"/>
    <cellStyle name="Migliaia 40 3" xfId="1165" xr:uid="{00000000-0005-0000-0000-00005F070000}"/>
    <cellStyle name="Migliaia 40 3 2" xfId="1166" xr:uid="{00000000-0005-0000-0000-000060070000}"/>
    <cellStyle name="Migliaia 40 3 2 2" xfId="3927" xr:uid="{00000000-0005-0000-0000-000061070000}"/>
    <cellStyle name="Migliaia 40 3 2 3" xfId="3928" xr:uid="{00000000-0005-0000-0000-000062070000}"/>
    <cellStyle name="Migliaia 40 3 3" xfId="1167" xr:uid="{00000000-0005-0000-0000-000063070000}"/>
    <cellStyle name="Migliaia 40 3 3 2" xfId="2485" xr:uid="{00000000-0005-0000-0000-000064070000}"/>
    <cellStyle name="Migliaia 40 3 4" xfId="2484" xr:uid="{00000000-0005-0000-0000-000065070000}"/>
    <cellStyle name="Migliaia 40 3 5" xfId="3929" xr:uid="{00000000-0005-0000-0000-000066070000}"/>
    <cellStyle name="Migliaia 40 4" xfId="1168" xr:uid="{00000000-0005-0000-0000-000067070000}"/>
    <cellStyle name="Migliaia 40 4 2" xfId="1169" xr:uid="{00000000-0005-0000-0000-000068070000}"/>
    <cellStyle name="Migliaia 40 4 2 2" xfId="2487" xr:uid="{00000000-0005-0000-0000-000069070000}"/>
    <cellStyle name="Migliaia 40 4 2 3" xfId="3930" xr:uid="{00000000-0005-0000-0000-00006A070000}"/>
    <cellStyle name="Migliaia 40 4 3" xfId="2486" xr:uid="{00000000-0005-0000-0000-00006B070000}"/>
    <cellStyle name="Migliaia 40 4 4" xfId="3931" xr:uid="{00000000-0005-0000-0000-00006C070000}"/>
    <cellStyle name="Migliaia 40 5" xfId="1170" xr:uid="{00000000-0005-0000-0000-00006D070000}"/>
    <cellStyle name="Migliaia 40 5 2" xfId="3932" xr:uid="{00000000-0005-0000-0000-00006E070000}"/>
    <cellStyle name="Migliaia 40 6" xfId="3933" xr:uid="{00000000-0005-0000-0000-00006F070000}"/>
    <cellStyle name="Migliaia 41" xfId="181" xr:uid="{00000000-0005-0000-0000-000070070000}"/>
    <cellStyle name="Migliaia 41 2" xfId="523" xr:uid="{00000000-0005-0000-0000-000071070000}"/>
    <cellStyle name="Migliaia 41 2 2" xfId="2488" xr:uid="{00000000-0005-0000-0000-000072070000}"/>
    <cellStyle name="Migliaia 41 2 2 2" xfId="3934" xr:uid="{00000000-0005-0000-0000-000073070000}"/>
    <cellStyle name="Migliaia 41 2 3" xfId="3935" xr:uid="{00000000-0005-0000-0000-000074070000}"/>
    <cellStyle name="Migliaia 41 3" xfId="1171" xr:uid="{00000000-0005-0000-0000-000075070000}"/>
    <cellStyle name="Migliaia 41 3 2" xfId="1172" xr:uid="{00000000-0005-0000-0000-000076070000}"/>
    <cellStyle name="Migliaia 41 3 2 2" xfId="3936" xr:uid="{00000000-0005-0000-0000-000077070000}"/>
    <cellStyle name="Migliaia 41 3 2 3" xfId="3937" xr:uid="{00000000-0005-0000-0000-000078070000}"/>
    <cellStyle name="Migliaia 41 3 3" xfId="1173" xr:uid="{00000000-0005-0000-0000-000079070000}"/>
    <cellStyle name="Migliaia 41 3 3 2" xfId="2490" xr:uid="{00000000-0005-0000-0000-00007A070000}"/>
    <cellStyle name="Migliaia 41 3 4" xfId="2489" xr:uid="{00000000-0005-0000-0000-00007B070000}"/>
    <cellStyle name="Migliaia 41 3 5" xfId="3938" xr:uid="{00000000-0005-0000-0000-00007C070000}"/>
    <cellStyle name="Migliaia 41 4" xfId="1174" xr:uid="{00000000-0005-0000-0000-00007D070000}"/>
    <cellStyle name="Migliaia 41 4 2" xfId="1175" xr:uid="{00000000-0005-0000-0000-00007E070000}"/>
    <cellStyle name="Migliaia 41 4 2 2" xfId="2492" xr:uid="{00000000-0005-0000-0000-00007F070000}"/>
    <cellStyle name="Migliaia 41 4 2 3" xfId="3939" xr:uid="{00000000-0005-0000-0000-000080070000}"/>
    <cellStyle name="Migliaia 41 4 3" xfId="2491" xr:uid="{00000000-0005-0000-0000-000081070000}"/>
    <cellStyle name="Migliaia 41 4 4" xfId="3940" xr:uid="{00000000-0005-0000-0000-000082070000}"/>
    <cellStyle name="Migliaia 41 5" xfId="1176" xr:uid="{00000000-0005-0000-0000-000083070000}"/>
    <cellStyle name="Migliaia 41 5 2" xfId="3941" xr:uid="{00000000-0005-0000-0000-000084070000}"/>
    <cellStyle name="Migliaia 41 6" xfId="3942" xr:uid="{00000000-0005-0000-0000-000085070000}"/>
    <cellStyle name="Migliaia 42" xfId="182" xr:uid="{00000000-0005-0000-0000-000086070000}"/>
    <cellStyle name="Migliaia 42 2" xfId="524" xr:uid="{00000000-0005-0000-0000-000087070000}"/>
    <cellStyle name="Migliaia 42 2 2" xfId="2493" xr:uid="{00000000-0005-0000-0000-000088070000}"/>
    <cellStyle name="Migliaia 42 2 2 2" xfId="3943" xr:uid="{00000000-0005-0000-0000-000089070000}"/>
    <cellStyle name="Migliaia 42 2 3" xfId="3944" xr:uid="{00000000-0005-0000-0000-00008A070000}"/>
    <cellStyle name="Migliaia 42 3" xfId="1177" xr:uid="{00000000-0005-0000-0000-00008B070000}"/>
    <cellStyle name="Migliaia 42 3 2" xfId="1178" xr:uid="{00000000-0005-0000-0000-00008C070000}"/>
    <cellStyle name="Migliaia 42 3 2 2" xfId="3945" xr:uid="{00000000-0005-0000-0000-00008D070000}"/>
    <cellStyle name="Migliaia 42 3 2 3" xfId="3946" xr:uid="{00000000-0005-0000-0000-00008E070000}"/>
    <cellStyle name="Migliaia 42 3 3" xfId="1179" xr:uid="{00000000-0005-0000-0000-00008F070000}"/>
    <cellStyle name="Migliaia 42 3 3 2" xfId="2495" xr:uid="{00000000-0005-0000-0000-000090070000}"/>
    <cellStyle name="Migliaia 42 3 4" xfId="2494" xr:uid="{00000000-0005-0000-0000-000091070000}"/>
    <cellStyle name="Migliaia 42 3 5" xfId="3947" xr:uid="{00000000-0005-0000-0000-000092070000}"/>
    <cellStyle name="Migliaia 42 4" xfId="1180" xr:uid="{00000000-0005-0000-0000-000093070000}"/>
    <cellStyle name="Migliaia 42 4 2" xfId="1181" xr:uid="{00000000-0005-0000-0000-000094070000}"/>
    <cellStyle name="Migliaia 42 4 2 2" xfId="2497" xr:uid="{00000000-0005-0000-0000-000095070000}"/>
    <cellStyle name="Migliaia 42 4 2 3" xfId="3948" xr:uid="{00000000-0005-0000-0000-000096070000}"/>
    <cellStyle name="Migliaia 42 4 3" xfId="2496" xr:uid="{00000000-0005-0000-0000-000097070000}"/>
    <cellStyle name="Migliaia 42 4 4" xfId="3949" xr:uid="{00000000-0005-0000-0000-000098070000}"/>
    <cellStyle name="Migliaia 42 5" xfId="1182" xr:uid="{00000000-0005-0000-0000-000099070000}"/>
    <cellStyle name="Migliaia 42 5 2" xfId="3950" xr:uid="{00000000-0005-0000-0000-00009A070000}"/>
    <cellStyle name="Migliaia 42 6" xfId="3951" xr:uid="{00000000-0005-0000-0000-00009B070000}"/>
    <cellStyle name="Migliaia 43" xfId="183" xr:uid="{00000000-0005-0000-0000-00009C070000}"/>
    <cellStyle name="Migliaia 43 2" xfId="525" xr:uid="{00000000-0005-0000-0000-00009D070000}"/>
    <cellStyle name="Migliaia 43 2 2" xfId="2498" xr:uid="{00000000-0005-0000-0000-00009E070000}"/>
    <cellStyle name="Migliaia 43 2 2 2" xfId="3952" xr:uid="{00000000-0005-0000-0000-00009F070000}"/>
    <cellStyle name="Migliaia 43 2 3" xfId="3953" xr:uid="{00000000-0005-0000-0000-0000A0070000}"/>
    <cellStyle name="Migliaia 43 3" xfId="1183" xr:uid="{00000000-0005-0000-0000-0000A1070000}"/>
    <cellStyle name="Migliaia 43 3 2" xfId="1184" xr:uid="{00000000-0005-0000-0000-0000A2070000}"/>
    <cellStyle name="Migliaia 43 3 2 2" xfId="3954" xr:uid="{00000000-0005-0000-0000-0000A3070000}"/>
    <cellStyle name="Migliaia 43 3 2 3" xfId="3955" xr:uid="{00000000-0005-0000-0000-0000A4070000}"/>
    <cellStyle name="Migliaia 43 3 3" xfId="1185" xr:uid="{00000000-0005-0000-0000-0000A5070000}"/>
    <cellStyle name="Migliaia 43 3 3 2" xfId="2500" xr:uid="{00000000-0005-0000-0000-0000A6070000}"/>
    <cellStyle name="Migliaia 43 3 4" xfId="2499" xr:uid="{00000000-0005-0000-0000-0000A7070000}"/>
    <cellStyle name="Migliaia 43 3 5" xfId="3956" xr:uid="{00000000-0005-0000-0000-0000A8070000}"/>
    <cellStyle name="Migliaia 43 4" xfId="1186" xr:uid="{00000000-0005-0000-0000-0000A9070000}"/>
    <cellStyle name="Migliaia 43 4 2" xfId="1187" xr:uid="{00000000-0005-0000-0000-0000AA070000}"/>
    <cellStyle name="Migliaia 43 4 2 2" xfId="2502" xr:uid="{00000000-0005-0000-0000-0000AB070000}"/>
    <cellStyle name="Migliaia 43 4 2 3" xfId="3957" xr:uid="{00000000-0005-0000-0000-0000AC070000}"/>
    <cellStyle name="Migliaia 43 4 3" xfId="2501" xr:uid="{00000000-0005-0000-0000-0000AD070000}"/>
    <cellStyle name="Migliaia 43 4 4" xfId="3958" xr:uid="{00000000-0005-0000-0000-0000AE070000}"/>
    <cellStyle name="Migliaia 43 5" xfId="1188" xr:uid="{00000000-0005-0000-0000-0000AF070000}"/>
    <cellStyle name="Migliaia 43 5 2" xfId="3959" xr:uid="{00000000-0005-0000-0000-0000B0070000}"/>
    <cellStyle name="Migliaia 43 6" xfId="3960" xr:uid="{00000000-0005-0000-0000-0000B1070000}"/>
    <cellStyle name="Migliaia 44" xfId="184" xr:uid="{00000000-0005-0000-0000-0000B2070000}"/>
    <cellStyle name="Migliaia 44 2" xfId="526" xr:uid="{00000000-0005-0000-0000-0000B3070000}"/>
    <cellStyle name="Migliaia 44 2 2" xfId="2503" xr:uid="{00000000-0005-0000-0000-0000B4070000}"/>
    <cellStyle name="Migliaia 44 2 2 2" xfId="3961" xr:uid="{00000000-0005-0000-0000-0000B5070000}"/>
    <cellStyle name="Migliaia 44 2 3" xfId="3962" xr:uid="{00000000-0005-0000-0000-0000B6070000}"/>
    <cellStyle name="Migliaia 44 3" xfId="1189" xr:uid="{00000000-0005-0000-0000-0000B7070000}"/>
    <cellStyle name="Migliaia 44 3 2" xfId="1190" xr:uid="{00000000-0005-0000-0000-0000B8070000}"/>
    <cellStyle name="Migliaia 44 3 2 2" xfId="3963" xr:uid="{00000000-0005-0000-0000-0000B9070000}"/>
    <cellStyle name="Migliaia 44 3 2 3" xfId="3964" xr:uid="{00000000-0005-0000-0000-0000BA070000}"/>
    <cellStyle name="Migliaia 44 3 3" xfId="1191" xr:uid="{00000000-0005-0000-0000-0000BB070000}"/>
    <cellStyle name="Migliaia 44 3 3 2" xfId="2505" xr:uid="{00000000-0005-0000-0000-0000BC070000}"/>
    <cellStyle name="Migliaia 44 3 4" xfId="2504" xr:uid="{00000000-0005-0000-0000-0000BD070000}"/>
    <cellStyle name="Migliaia 44 3 5" xfId="3965" xr:uid="{00000000-0005-0000-0000-0000BE070000}"/>
    <cellStyle name="Migliaia 44 4" xfId="1192" xr:uid="{00000000-0005-0000-0000-0000BF070000}"/>
    <cellStyle name="Migliaia 44 4 2" xfId="1193" xr:uid="{00000000-0005-0000-0000-0000C0070000}"/>
    <cellStyle name="Migliaia 44 4 2 2" xfId="2507" xr:uid="{00000000-0005-0000-0000-0000C1070000}"/>
    <cellStyle name="Migliaia 44 4 2 3" xfId="3966" xr:uid="{00000000-0005-0000-0000-0000C2070000}"/>
    <cellStyle name="Migliaia 44 4 3" xfId="2506" xr:uid="{00000000-0005-0000-0000-0000C3070000}"/>
    <cellStyle name="Migliaia 44 4 4" xfId="3967" xr:uid="{00000000-0005-0000-0000-0000C4070000}"/>
    <cellStyle name="Migliaia 44 5" xfId="1194" xr:uid="{00000000-0005-0000-0000-0000C5070000}"/>
    <cellStyle name="Migliaia 44 5 2" xfId="3968" xr:uid="{00000000-0005-0000-0000-0000C6070000}"/>
    <cellStyle name="Migliaia 44 6" xfId="3969" xr:uid="{00000000-0005-0000-0000-0000C7070000}"/>
    <cellStyle name="Migliaia 45" xfId="185" xr:uid="{00000000-0005-0000-0000-0000C8070000}"/>
    <cellStyle name="Migliaia 45 2" xfId="527" xr:uid="{00000000-0005-0000-0000-0000C9070000}"/>
    <cellStyle name="Migliaia 45 2 2" xfId="2508" xr:uid="{00000000-0005-0000-0000-0000CA070000}"/>
    <cellStyle name="Migliaia 45 2 2 2" xfId="3970" xr:uid="{00000000-0005-0000-0000-0000CB070000}"/>
    <cellStyle name="Migliaia 45 2 3" xfId="3971" xr:uid="{00000000-0005-0000-0000-0000CC070000}"/>
    <cellStyle name="Migliaia 45 3" xfId="1195" xr:uid="{00000000-0005-0000-0000-0000CD070000}"/>
    <cellStyle name="Migliaia 45 3 2" xfId="1196" xr:uid="{00000000-0005-0000-0000-0000CE070000}"/>
    <cellStyle name="Migliaia 45 3 2 2" xfId="3972" xr:uid="{00000000-0005-0000-0000-0000CF070000}"/>
    <cellStyle name="Migliaia 45 3 2 3" xfId="3973" xr:uid="{00000000-0005-0000-0000-0000D0070000}"/>
    <cellStyle name="Migliaia 45 3 3" xfId="1197" xr:uid="{00000000-0005-0000-0000-0000D1070000}"/>
    <cellStyle name="Migliaia 45 3 3 2" xfId="2510" xr:uid="{00000000-0005-0000-0000-0000D2070000}"/>
    <cellStyle name="Migliaia 45 3 4" xfId="2509" xr:uid="{00000000-0005-0000-0000-0000D3070000}"/>
    <cellStyle name="Migliaia 45 3 5" xfId="3974" xr:uid="{00000000-0005-0000-0000-0000D4070000}"/>
    <cellStyle name="Migliaia 45 4" xfId="1198" xr:uid="{00000000-0005-0000-0000-0000D5070000}"/>
    <cellStyle name="Migliaia 45 4 2" xfId="1199" xr:uid="{00000000-0005-0000-0000-0000D6070000}"/>
    <cellStyle name="Migliaia 45 4 2 2" xfId="2512" xr:uid="{00000000-0005-0000-0000-0000D7070000}"/>
    <cellStyle name="Migliaia 45 4 2 3" xfId="3975" xr:uid="{00000000-0005-0000-0000-0000D8070000}"/>
    <cellStyle name="Migliaia 45 4 3" xfId="2511" xr:uid="{00000000-0005-0000-0000-0000D9070000}"/>
    <cellStyle name="Migliaia 45 4 4" xfId="3976" xr:uid="{00000000-0005-0000-0000-0000DA070000}"/>
    <cellStyle name="Migliaia 45 5" xfId="1200" xr:uid="{00000000-0005-0000-0000-0000DB070000}"/>
    <cellStyle name="Migliaia 45 5 2" xfId="3977" xr:uid="{00000000-0005-0000-0000-0000DC070000}"/>
    <cellStyle name="Migliaia 45 6" xfId="3978" xr:uid="{00000000-0005-0000-0000-0000DD070000}"/>
    <cellStyle name="Migliaia 46" xfId="186" xr:uid="{00000000-0005-0000-0000-0000DE070000}"/>
    <cellStyle name="Migliaia 46 2" xfId="528" xr:uid="{00000000-0005-0000-0000-0000DF070000}"/>
    <cellStyle name="Migliaia 46 2 2" xfId="2513" xr:uid="{00000000-0005-0000-0000-0000E0070000}"/>
    <cellStyle name="Migliaia 46 2 2 2" xfId="3979" xr:uid="{00000000-0005-0000-0000-0000E1070000}"/>
    <cellStyle name="Migliaia 46 2 3" xfId="3980" xr:uid="{00000000-0005-0000-0000-0000E2070000}"/>
    <cellStyle name="Migliaia 46 3" xfId="1201" xr:uid="{00000000-0005-0000-0000-0000E3070000}"/>
    <cellStyle name="Migliaia 46 3 2" xfId="1202" xr:uid="{00000000-0005-0000-0000-0000E4070000}"/>
    <cellStyle name="Migliaia 46 3 2 2" xfId="3981" xr:uid="{00000000-0005-0000-0000-0000E5070000}"/>
    <cellStyle name="Migliaia 46 3 2 3" xfId="3982" xr:uid="{00000000-0005-0000-0000-0000E6070000}"/>
    <cellStyle name="Migliaia 46 3 3" xfId="1203" xr:uid="{00000000-0005-0000-0000-0000E7070000}"/>
    <cellStyle name="Migliaia 46 3 3 2" xfId="2515" xr:uid="{00000000-0005-0000-0000-0000E8070000}"/>
    <cellStyle name="Migliaia 46 3 4" xfId="2514" xr:uid="{00000000-0005-0000-0000-0000E9070000}"/>
    <cellStyle name="Migliaia 46 3 5" xfId="3983" xr:uid="{00000000-0005-0000-0000-0000EA070000}"/>
    <cellStyle name="Migliaia 46 4" xfId="1204" xr:uid="{00000000-0005-0000-0000-0000EB070000}"/>
    <cellStyle name="Migliaia 46 4 2" xfId="1205" xr:uid="{00000000-0005-0000-0000-0000EC070000}"/>
    <cellStyle name="Migliaia 46 4 2 2" xfId="2517" xr:uid="{00000000-0005-0000-0000-0000ED070000}"/>
    <cellStyle name="Migliaia 46 4 2 3" xfId="3984" xr:uid="{00000000-0005-0000-0000-0000EE070000}"/>
    <cellStyle name="Migliaia 46 4 3" xfId="2516" xr:uid="{00000000-0005-0000-0000-0000EF070000}"/>
    <cellStyle name="Migliaia 46 4 4" xfId="3985" xr:uid="{00000000-0005-0000-0000-0000F0070000}"/>
    <cellStyle name="Migliaia 46 5" xfId="1206" xr:uid="{00000000-0005-0000-0000-0000F1070000}"/>
    <cellStyle name="Migliaia 46 5 2" xfId="3986" xr:uid="{00000000-0005-0000-0000-0000F2070000}"/>
    <cellStyle name="Migliaia 46 6" xfId="3987" xr:uid="{00000000-0005-0000-0000-0000F3070000}"/>
    <cellStyle name="Migliaia 47" xfId="187" xr:uid="{00000000-0005-0000-0000-0000F4070000}"/>
    <cellStyle name="Migliaia 47 2" xfId="529" xr:uid="{00000000-0005-0000-0000-0000F5070000}"/>
    <cellStyle name="Migliaia 47 2 2" xfId="2518" xr:uid="{00000000-0005-0000-0000-0000F6070000}"/>
    <cellStyle name="Migliaia 47 2 2 2" xfId="3988" xr:uid="{00000000-0005-0000-0000-0000F7070000}"/>
    <cellStyle name="Migliaia 47 2 3" xfId="3989" xr:uid="{00000000-0005-0000-0000-0000F8070000}"/>
    <cellStyle name="Migliaia 47 3" xfId="1207" xr:uid="{00000000-0005-0000-0000-0000F9070000}"/>
    <cellStyle name="Migliaia 47 3 2" xfId="1208" xr:uid="{00000000-0005-0000-0000-0000FA070000}"/>
    <cellStyle name="Migliaia 47 3 2 2" xfId="3990" xr:uid="{00000000-0005-0000-0000-0000FB070000}"/>
    <cellStyle name="Migliaia 47 3 2 3" xfId="3991" xr:uid="{00000000-0005-0000-0000-0000FC070000}"/>
    <cellStyle name="Migliaia 47 3 3" xfId="1209" xr:uid="{00000000-0005-0000-0000-0000FD070000}"/>
    <cellStyle name="Migliaia 47 3 3 2" xfId="2520" xr:uid="{00000000-0005-0000-0000-0000FE070000}"/>
    <cellStyle name="Migliaia 47 3 4" xfId="2519" xr:uid="{00000000-0005-0000-0000-0000FF070000}"/>
    <cellStyle name="Migliaia 47 3 5" xfId="3992" xr:uid="{00000000-0005-0000-0000-000000080000}"/>
    <cellStyle name="Migliaia 47 4" xfId="1210" xr:uid="{00000000-0005-0000-0000-000001080000}"/>
    <cellStyle name="Migliaia 47 4 2" xfId="1211" xr:uid="{00000000-0005-0000-0000-000002080000}"/>
    <cellStyle name="Migliaia 47 4 2 2" xfId="2522" xr:uid="{00000000-0005-0000-0000-000003080000}"/>
    <cellStyle name="Migliaia 47 4 2 3" xfId="3993" xr:uid="{00000000-0005-0000-0000-000004080000}"/>
    <cellStyle name="Migliaia 47 4 3" xfId="2521" xr:uid="{00000000-0005-0000-0000-000005080000}"/>
    <cellStyle name="Migliaia 47 4 4" xfId="3994" xr:uid="{00000000-0005-0000-0000-000006080000}"/>
    <cellStyle name="Migliaia 47 5" xfId="1212" xr:uid="{00000000-0005-0000-0000-000007080000}"/>
    <cellStyle name="Migliaia 47 5 2" xfId="3995" xr:uid="{00000000-0005-0000-0000-000008080000}"/>
    <cellStyle name="Migliaia 47 6" xfId="3996" xr:uid="{00000000-0005-0000-0000-000009080000}"/>
    <cellStyle name="Migliaia 48" xfId="188" xr:uid="{00000000-0005-0000-0000-00000A080000}"/>
    <cellStyle name="Migliaia 48 2" xfId="530" xr:uid="{00000000-0005-0000-0000-00000B080000}"/>
    <cellStyle name="Migliaia 48 2 2" xfId="2523" xr:uid="{00000000-0005-0000-0000-00000C080000}"/>
    <cellStyle name="Migliaia 48 2 2 2" xfId="3997" xr:uid="{00000000-0005-0000-0000-00000D080000}"/>
    <cellStyle name="Migliaia 48 2 3" xfId="3998" xr:uid="{00000000-0005-0000-0000-00000E080000}"/>
    <cellStyle name="Migliaia 48 3" xfId="1213" xr:uid="{00000000-0005-0000-0000-00000F080000}"/>
    <cellStyle name="Migliaia 48 3 2" xfId="1214" xr:uid="{00000000-0005-0000-0000-000010080000}"/>
    <cellStyle name="Migliaia 48 3 2 2" xfId="3999" xr:uid="{00000000-0005-0000-0000-000011080000}"/>
    <cellStyle name="Migliaia 48 3 2 3" xfId="4000" xr:uid="{00000000-0005-0000-0000-000012080000}"/>
    <cellStyle name="Migliaia 48 3 3" xfId="1215" xr:uid="{00000000-0005-0000-0000-000013080000}"/>
    <cellStyle name="Migliaia 48 3 3 2" xfId="2525" xr:uid="{00000000-0005-0000-0000-000014080000}"/>
    <cellStyle name="Migliaia 48 3 4" xfId="2524" xr:uid="{00000000-0005-0000-0000-000015080000}"/>
    <cellStyle name="Migliaia 48 3 5" xfId="4001" xr:uid="{00000000-0005-0000-0000-000016080000}"/>
    <cellStyle name="Migliaia 48 4" xfId="1216" xr:uid="{00000000-0005-0000-0000-000017080000}"/>
    <cellStyle name="Migliaia 48 4 2" xfId="1217" xr:uid="{00000000-0005-0000-0000-000018080000}"/>
    <cellStyle name="Migliaia 48 4 2 2" xfId="2527" xr:uid="{00000000-0005-0000-0000-000019080000}"/>
    <cellStyle name="Migliaia 48 4 2 3" xfId="4002" xr:uid="{00000000-0005-0000-0000-00001A080000}"/>
    <cellStyle name="Migliaia 48 4 3" xfId="2526" xr:uid="{00000000-0005-0000-0000-00001B080000}"/>
    <cellStyle name="Migliaia 48 4 4" xfId="4003" xr:uid="{00000000-0005-0000-0000-00001C080000}"/>
    <cellStyle name="Migliaia 48 5" xfId="1218" xr:uid="{00000000-0005-0000-0000-00001D080000}"/>
    <cellStyle name="Migliaia 48 5 2" xfId="4004" xr:uid="{00000000-0005-0000-0000-00001E080000}"/>
    <cellStyle name="Migliaia 48 6" xfId="4005" xr:uid="{00000000-0005-0000-0000-00001F080000}"/>
    <cellStyle name="Migliaia 49" xfId="189" xr:uid="{00000000-0005-0000-0000-000020080000}"/>
    <cellStyle name="Migliaia 49 2" xfId="531" xr:uid="{00000000-0005-0000-0000-000021080000}"/>
    <cellStyle name="Migliaia 49 2 2" xfId="2528" xr:uid="{00000000-0005-0000-0000-000022080000}"/>
    <cellStyle name="Migliaia 49 2 2 2" xfId="4006" xr:uid="{00000000-0005-0000-0000-000023080000}"/>
    <cellStyle name="Migliaia 49 2 3" xfId="4007" xr:uid="{00000000-0005-0000-0000-000024080000}"/>
    <cellStyle name="Migliaia 49 3" xfId="1219" xr:uid="{00000000-0005-0000-0000-000025080000}"/>
    <cellStyle name="Migliaia 49 3 2" xfId="1220" xr:uid="{00000000-0005-0000-0000-000026080000}"/>
    <cellStyle name="Migliaia 49 3 2 2" xfId="4008" xr:uid="{00000000-0005-0000-0000-000027080000}"/>
    <cellStyle name="Migliaia 49 3 2 3" xfId="4009" xr:uid="{00000000-0005-0000-0000-000028080000}"/>
    <cellStyle name="Migliaia 49 3 3" xfId="1221" xr:uid="{00000000-0005-0000-0000-000029080000}"/>
    <cellStyle name="Migliaia 49 3 3 2" xfId="2530" xr:uid="{00000000-0005-0000-0000-00002A080000}"/>
    <cellStyle name="Migliaia 49 3 4" xfId="2529" xr:uid="{00000000-0005-0000-0000-00002B080000}"/>
    <cellStyle name="Migliaia 49 3 5" xfId="4010" xr:uid="{00000000-0005-0000-0000-00002C080000}"/>
    <cellStyle name="Migliaia 49 4" xfId="1222" xr:uid="{00000000-0005-0000-0000-00002D080000}"/>
    <cellStyle name="Migliaia 49 4 2" xfId="1223" xr:uid="{00000000-0005-0000-0000-00002E080000}"/>
    <cellStyle name="Migliaia 49 4 2 2" xfId="2532" xr:uid="{00000000-0005-0000-0000-00002F080000}"/>
    <cellStyle name="Migliaia 49 4 2 3" xfId="4011" xr:uid="{00000000-0005-0000-0000-000030080000}"/>
    <cellStyle name="Migliaia 49 4 3" xfId="2531" xr:uid="{00000000-0005-0000-0000-000031080000}"/>
    <cellStyle name="Migliaia 49 4 4" xfId="4012" xr:uid="{00000000-0005-0000-0000-000032080000}"/>
    <cellStyle name="Migliaia 49 5" xfId="1224" xr:uid="{00000000-0005-0000-0000-000033080000}"/>
    <cellStyle name="Migliaia 49 5 2" xfId="4013" xr:uid="{00000000-0005-0000-0000-000034080000}"/>
    <cellStyle name="Migliaia 49 6" xfId="4014" xr:uid="{00000000-0005-0000-0000-000035080000}"/>
    <cellStyle name="Migliaia 5" xfId="190" xr:uid="{00000000-0005-0000-0000-000036080000}"/>
    <cellStyle name="Migliaia 5 2" xfId="532" xr:uid="{00000000-0005-0000-0000-000037080000}"/>
    <cellStyle name="Migliaia 5 2 2" xfId="2533" xr:uid="{00000000-0005-0000-0000-000038080000}"/>
    <cellStyle name="Migliaia 5 2 2 2" xfId="4015" xr:uid="{00000000-0005-0000-0000-000039080000}"/>
    <cellStyle name="Migliaia 5 2 3" xfId="4016" xr:uid="{00000000-0005-0000-0000-00003A080000}"/>
    <cellStyle name="Migliaia 5 3" xfId="1225" xr:uid="{00000000-0005-0000-0000-00003B080000}"/>
    <cellStyle name="Migliaia 5 3 2" xfId="1226" xr:uid="{00000000-0005-0000-0000-00003C080000}"/>
    <cellStyle name="Migliaia 5 3 2 2" xfId="4017" xr:uid="{00000000-0005-0000-0000-00003D080000}"/>
    <cellStyle name="Migliaia 5 3 2 3" xfId="4018" xr:uid="{00000000-0005-0000-0000-00003E080000}"/>
    <cellStyle name="Migliaia 5 3 3" xfId="1227" xr:uid="{00000000-0005-0000-0000-00003F080000}"/>
    <cellStyle name="Migliaia 5 3 3 2" xfId="2535" xr:uid="{00000000-0005-0000-0000-000040080000}"/>
    <cellStyle name="Migliaia 5 3 4" xfId="2534" xr:uid="{00000000-0005-0000-0000-000041080000}"/>
    <cellStyle name="Migliaia 5 3 5" xfId="4019" xr:uid="{00000000-0005-0000-0000-000042080000}"/>
    <cellStyle name="Migliaia 5 4" xfId="1228" xr:uid="{00000000-0005-0000-0000-000043080000}"/>
    <cellStyle name="Migliaia 5 4 2" xfId="1229" xr:uid="{00000000-0005-0000-0000-000044080000}"/>
    <cellStyle name="Migliaia 5 4 2 2" xfId="2537" xr:uid="{00000000-0005-0000-0000-000045080000}"/>
    <cellStyle name="Migliaia 5 4 2 3" xfId="4020" xr:uid="{00000000-0005-0000-0000-000046080000}"/>
    <cellStyle name="Migliaia 5 4 3" xfId="2536" xr:uid="{00000000-0005-0000-0000-000047080000}"/>
    <cellStyle name="Migliaia 5 4 4" xfId="4021" xr:uid="{00000000-0005-0000-0000-000048080000}"/>
    <cellStyle name="Migliaia 5 5" xfId="1230" xr:uid="{00000000-0005-0000-0000-000049080000}"/>
    <cellStyle name="Migliaia 5 5 2" xfId="4022" xr:uid="{00000000-0005-0000-0000-00004A080000}"/>
    <cellStyle name="Migliaia 5 6" xfId="4023" xr:uid="{00000000-0005-0000-0000-00004B080000}"/>
    <cellStyle name="Migliaia 50" xfId="191" xr:uid="{00000000-0005-0000-0000-00004C080000}"/>
    <cellStyle name="Migliaia 50 2" xfId="533" xr:uid="{00000000-0005-0000-0000-00004D080000}"/>
    <cellStyle name="Migliaia 50 2 2" xfId="2538" xr:uid="{00000000-0005-0000-0000-00004E080000}"/>
    <cellStyle name="Migliaia 50 2 2 2" xfId="4024" xr:uid="{00000000-0005-0000-0000-00004F080000}"/>
    <cellStyle name="Migliaia 50 2 3" xfId="4025" xr:uid="{00000000-0005-0000-0000-000050080000}"/>
    <cellStyle name="Migliaia 50 3" xfId="1231" xr:uid="{00000000-0005-0000-0000-000051080000}"/>
    <cellStyle name="Migliaia 50 3 2" xfId="1232" xr:uid="{00000000-0005-0000-0000-000052080000}"/>
    <cellStyle name="Migliaia 50 3 2 2" xfId="4026" xr:uid="{00000000-0005-0000-0000-000053080000}"/>
    <cellStyle name="Migliaia 50 3 2 3" xfId="4027" xr:uid="{00000000-0005-0000-0000-000054080000}"/>
    <cellStyle name="Migliaia 50 3 3" xfId="1233" xr:uid="{00000000-0005-0000-0000-000055080000}"/>
    <cellStyle name="Migliaia 50 3 3 2" xfId="2540" xr:uid="{00000000-0005-0000-0000-000056080000}"/>
    <cellStyle name="Migliaia 50 3 4" xfId="2539" xr:uid="{00000000-0005-0000-0000-000057080000}"/>
    <cellStyle name="Migliaia 50 3 5" xfId="4028" xr:uid="{00000000-0005-0000-0000-000058080000}"/>
    <cellStyle name="Migliaia 50 4" xfId="1234" xr:uid="{00000000-0005-0000-0000-000059080000}"/>
    <cellStyle name="Migliaia 50 4 2" xfId="1235" xr:uid="{00000000-0005-0000-0000-00005A080000}"/>
    <cellStyle name="Migliaia 50 4 2 2" xfId="2542" xr:uid="{00000000-0005-0000-0000-00005B080000}"/>
    <cellStyle name="Migliaia 50 4 2 3" xfId="4029" xr:uid="{00000000-0005-0000-0000-00005C080000}"/>
    <cellStyle name="Migliaia 50 4 3" xfId="2541" xr:uid="{00000000-0005-0000-0000-00005D080000}"/>
    <cellStyle name="Migliaia 50 4 4" xfId="4030" xr:uid="{00000000-0005-0000-0000-00005E080000}"/>
    <cellStyle name="Migliaia 50 5" xfId="1236" xr:uid="{00000000-0005-0000-0000-00005F080000}"/>
    <cellStyle name="Migliaia 50 5 2" xfId="4031" xr:uid="{00000000-0005-0000-0000-000060080000}"/>
    <cellStyle name="Migliaia 50 6" xfId="4032" xr:uid="{00000000-0005-0000-0000-000061080000}"/>
    <cellStyle name="Migliaia 51" xfId="192" xr:uid="{00000000-0005-0000-0000-000062080000}"/>
    <cellStyle name="Migliaia 51 2" xfId="534" xr:uid="{00000000-0005-0000-0000-000063080000}"/>
    <cellStyle name="Migliaia 51 2 2" xfId="2543" xr:uid="{00000000-0005-0000-0000-000064080000}"/>
    <cellStyle name="Migliaia 51 2 2 2" xfId="4033" xr:uid="{00000000-0005-0000-0000-000065080000}"/>
    <cellStyle name="Migliaia 51 2 3" xfId="4034" xr:uid="{00000000-0005-0000-0000-000066080000}"/>
    <cellStyle name="Migliaia 51 3" xfId="1237" xr:uid="{00000000-0005-0000-0000-000067080000}"/>
    <cellStyle name="Migliaia 51 3 2" xfId="1238" xr:uid="{00000000-0005-0000-0000-000068080000}"/>
    <cellStyle name="Migliaia 51 3 2 2" xfId="4035" xr:uid="{00000000-0005-0000-0000-000069080000}"/>
    <cellStyle name="Migliaia 51 3 2 3" xfId="4036" xr:uid="{00000000-0005-0000-0000-00006A080000}"/>
    <cellStyle name="Migliaia 51 3 3" xfId="1239" xr:uid="{00000000-0005-0000-0000-00006B080000}"/>
    <cellStyle name="Migliaia 51 3 3 2" xfId="2545" xr:uid="{00000000-0005-0000-0000-00006C080000}"/>
    <cellStyle name="Migliaia 51 3 4" xfId="2544" xr:uid="{00000000-0005-0000-0000-00006D080000}"/>
    <cellStyle name="Migliaia 51 3 5" xfId="4037" xr:uid="{00000000-0005-0000-0000-00006E080000}"/>
    <cellStyle name="Migliaia 51 4" xfId="1240" xr:uid="{00000000-0005-0000-0000-00006F080000}"/>
    <cellStyle name="Migliaia 51 4 2" xfId="1241" xr:uid="{00000000-0005-0000-0000-000070080000}"/>
    <cellStyle name="Migliaia 51 4 2 2" xfId="2547" xr:uid="{00000000-0005-0000-0000-000071080000}"/>
    <cellStyle name="Migliaia 51 4 2 3" xfId="4038" xr:uid="{00000000-0005-0000-0000-000072080000}"/>
    <cellStyle name="Migliaia 51 4 3" xfId="2546" xr:uid="{00000000-0005-0000-0000-000073080000}"/>
    <cellStyle name="Migliaia 51 4 4" xfId="4039" xr:uid="{00000000-0005-0000-0000-000074080000}"/>
    <cellStyle name="Migliaia 51 5" xfId="1242" xr:uid="{00000000-0005-0000-0000-000075080000}"/>
    <cellStyle name="Migliaia 51 5 2" xfId="4040" xr:uid="{00000000-0005-0000-0000-000076080000}"/>
    <cellStyle name="Migliaia 51 6" xfId="4041" xr:uid="{00000000-0005-0000-0000-000077080000}"/>
    <cellStyle name="Migliaia 52" xfId="193" xr:uid="{00000000-0005-0000-0000-000078080000}"/>
    <cellStyle name="Migliaia 52 2" xfId="535" xr:uid="{00000000-0005-0000-0000-000079080000}"/>
    <cellStyle name="Migliaia 52 2 2" xfId="2548" xr:uid="{00000000-0005-0000-0000-00007A080000}"/>
    <cellStyle name="Migliaia 52 2 2 2" xfId="4042" xr:uid="{00000000-0005-0000-0000-00007B080000}"/>
    <cellStyle name="Migliaia 52 2 3" xfId="4043" xr:uid="{00000000-0005-0000-0000-00007C080000}"/>
    <cellStyle name="Migliaia 52 3" xfId="1243" xr:uid="{00000000-0005-0000-0000-00007D080000}"/>
    <cellStyle name="Migliaia 52 3 2" xfId="1244" xr:uid="{00000000-0005-0000-0000-00007E080000}"/>
    <cellStyle name="Migliaia 52 3 2 2" xfId="4044" xr:uid="{00000000-0005-0000-0000-00007F080000}"/>
    <cellStyle name="Migliaia 52 3 2 3" xfId="4045" xr:uid="{00000000-0005-0000-0000-000080080000}"/>
    <cellStyle name="Migliaia 52 3 3" xfId="1245" xr:uid="{00000000-0005-0000-0000-000081080000}"/>
    <cellStyle name="Migliaia 52 3 3 2" xfId="2550" xr:uid="{00000000-0005-0000-0000-000082080000}"/>
    <cellStyle name="Migliaia 52 3 4" xfId="2549" xr:uid="{00000000-0005-0000-0000-000083080000}"/>
    <cellStyle name="Migliaia 52 3 5" xfId="4046" xr:uid="{00000000-0005-0000-0000-000084080000}"/>
    <cellStyle name="Migliaia 52 4" xfId="1246" xr:uid="{00000000-0005-0000-0000-000085080000}"/>
    <cellStyle name="Migliaia 52 4 2" xfId="1247" xr:uid="{00000000-0005-0000-0000-000086080000}"/>
    <cellStyle name="Migliaia 52 4 2 2" xfId="2552" xr:uid="{00000000-0005-0000-0000-000087080000}"/>
    <cellStyle name="Migliaia 52 4 2 3" xfId="4047" xr:uid="{00000000-0005-0000-0000-000088080000}"/>
    <cellStyle name="Migliaia 52 4 3" xfId="2551" xr:uid="{00000000-0005-0000-0000-000089080000}"/>
    <cellStyle name="Migliaia 52 4 4" xfId="4048" xr:uid="{00000000-0005-0000-0000-00008A080000}"/>
    <cellStyle name="Migliaia 52 5" xfId="1248" xr:uid="{00000000-0005-0000-0000-00008B080000}"/>
    <cellStyle name="Migliaia 52 5 2" xfId="4049" xr:uid="{00000000-0005-0000-0000-00008C080000}"/>
    <cellStyle name="Migliaia 52 6" xfId="4050" xr:uid="{00000000-0005-0000-0000-00008D080000}"/>
    <cellStyle name="Migliaia 53" xfId="194" xr:uid="{00000000-0005-0000-0000-00008E080000}"/>
    <cellStyle name="Migliaia 53 2" xfId="536" xr:uid="{00000000-0005-0000-0000-00008F080000}"/>
    <cellStyle name="Migliaia 53 2 2" xfId="2553" xr:uid="{00000000-0005-0000-0000-000090080000}"/>
    <cellStyle name="Migliaia 53 2 2 2" xfId="4051" xr:uid="{00000000-0005-0000-0000-000091080000}"/>
    <cellStyle name="Migliaia 53 2 3" xfId="4052" xr:uid="{00000000-0005-0000-0000-000092080000}"/>
    <cellStyle name="Migliaia 53 3" xfId="1249" xr:uid="{00000000-0005-0000-0000-000093080000}"/>
    <cellStyle name="Migliaia 53 3 2" xfId="1250" xr:uid="{00000000-0005-0000-0000-000094080000}"/>
    <cellStyle name="Migliaia 53 3 2 2" xfId="4053" xr:uid="{00000000-0005-0000-0000-000095080000}"/>
    <cellStyle name="Migliaia 53 3 2 3" xfId="4054" xr:uid="{00000000-0005-0000-0000-000096080000}"/>
    <cellStyle name="Migliaia 53 3 3" xfId="1251" xr:uid="{00000000-0005-0000-0000-000097080000}"/>
    <cellStyle name="Migliaia 53 3 3 2" xfId="2555" xr:uid="{00000000-0005-0000-0000-000098080000}"/>
    <cellStyle name="Migliaia 53 3 4" xfId="2554" xr:uid="{00000000-0005-0000-0000-000099080000}"/>
    <cellStyle name="Migliaia 53 3 5" xfId="4055" xr:uid="{00000000-0005-0000-0000-00009A080000}"/>
    <cellStyle name="Migliaia 53 4" xfId="1252" xr:uid="{00000000-0005-0000-0000-00009B080000}"/>
    <cellStyle name="Migliaia 53 4 2" xfId="1253" xr:uid="{00000000-0005-0000-0000-00009C080000}"/>
    <cellStyle name="Migliaia 53 4 2 2" xfId="2557" xr:uid="{00000000-0005-0000-0000-00009D080000}"/>
    <cellStyle name="Migliaia 53 4 2 3" xfId="4056" xr:uid="{00000000-0005-0000-0000-00009E080000}"/>
    <cellStyle name="Migliaia 53 4 3" xfId="2556" xr:uid="{00000000-0005-0000-0000-00009F080000}"/>
    <cellStyle name="Migliaia 53 4 4" xfId="4057" xr:uid="{00000000-0005-0000-0000-0000A0080000}"/>
    <cellStyle name="Migliaia 53 5" xfId="1254" xr:uid="{00000000-0005-0000-0000-0000A1080000}"/>
    <cellStyle name="Migliaia 53 5 2" xfId="4058" xr:uid="{00000000-0005-0000-0000-0000A2080000}"/>
    <cellStyle name="Migliaia 53 6" xfId="4059" xr:uid="{00000000-0005-0000-0000-0000A3080000}"/>
    <cellStyle name="Migliaia 54" xfId="195" xr:uid="{00000000-0005-0000-0000-0000A4080000}"/>
    <cellStyle name="Migliaia 54 2" xfId="537" xr:uid="{00000000-0005-0000-0000-0000A5080000}"/>
    <cellStyle name="Migliaia 54 2 2" xfId="2558" xr:uid="{00000000-0005-0000-0000-0000A6080000}"/>
    <cellStyle name="Migliaia 54 2 2 2" xfId="4060" xr:uid="{00000000-0005-0000-0000-0000A7080000}"/>
    <cellStyle name="Migliaia 54 2 3" xfId="4061" xr:uid="{00000000-0005-0000-0000-0000A8080000}"/>
    <cellStyle name="Migliaia 54 3" xfId="1255" xr:uid="{00000000-0005-0000-0000-0000A9080000}"/>
    <cellStyle name="Migliaia 54 3 2" xfId="1256" xr:uid="{00000000-0005-0000-0000-0000AA080000}"/>
    <cellStyle name="Migliaia 54 3 2 2" xfId="4062" xr:uid="{00000000-0005-0000-0000-0000AB080000}"/>
    <cellStyle name="Migliaia 54 3 2 3" xfId="4063" xr:uid="{00000000-0005-0000-0000-0000AC080000}"/>
    <cellStyle name="Migliaia 54 3 3" xfId="1257" xr:uid="{00000000-0005-0000-0000-0000AD080000}"/>
    <cellStyle name="Migliaia 54 3 3 2" xfId="2560" xr:uid="{00000000-0005-0000-0000-0000AE080000}"/>
    <cellStyle name="Migliaia 54 3 4" xfId="2559" xr:uid="{00000000-0005-0000-0000-0000AF080000}"/>
    <cellStyle name="Migliaia 54 3 5" xfId="4064" xr:uid="{00000000-0005-0000-0000-0000B0080000}"/>
    <cellStyle name="Migliaia 54 4" xfId="1258" xr:uid="{00000000-0005-0000-0000-0000B1080000}"/>
    <cellStyle name="Migliaia 54 4 2" xfId="1259" xr:uid="{00000000-0005-0000-0000-0000B2080000}"/>
    <cellStyle name="Migliaia 54 4 2 2" xfId="2562" xr:uid="{00000000-0005-0000-0000-0000B3080000}"/>
    <cellStyle name="Migliaia 54 4 2 3" xfId="4065" xr:uid="{00000000-0005-0000-0000-0000B4080000}"/>
    <cellStyle name="Migliaia 54 4 3" xfId="2561" xr:uid="{00000000-0005-0000-0000-0000B5080000}"/>
    <cellStyle name="Migliaia 54 4 4" xfId="4066" xr:uid="{00000000-0005-0000-0000-0000B6080000}"/>
    <cellStyle name="Migliaia 54 5" xfId="1260" xr:uid="{00000000-0005-0000-0000-0000B7080000}"/>
    <cellStyle name="Migliaia 54 5 2" xfId="4067" xr:uid="{00000000-0005-0000-0000-0000B8080000}"/>
    <cellStyle name="Migliaia 54 6" xfId="4068" xr:uid="{00000000-0005-0000-0000-0000B9080000}"/>
    <cellStyle name="Migliaia 55" xfId="196" xr:uid="{00000000-0005-0000-0000-0000BA080000}"/>
    <cellStyle name="Migliaia 55 2" xfId="538" xr:uid="{00000000-0005-0000-0000-0000BB080000}"/>
    <cellStyle name="Migliaia 55 2 2" xfId="2563" xr:uid="{00000000-0005-0000-0000-0000BC080000}"/>
    <cellStyle name="Migliaia 55 2 2 2" xfId="4069" xr:uid="{00000000-0005-0000-0000-0000BD080000}"/>
    <cellStyle name="Migliaia 55 2 3" xfId="4070" xr:uid="{00000000-0005-0000-0000-0000BE080000}"/>
    <cellStyle name="Migliaia 55 3" xfId="1261" xr:uid="{00000000-0005-0000-0000-0000BF080000}"/>
    <cellStyle name="Migliaia 55 3 2" xfId="1262" xr:uid="{00000000-0005-0000-0000-0000C0080000}"/>
    <cellStyle name="Migliaia 55 3 2 2" xfId="4071" xr:uid="{00000000-0005-0000-0000-0000C1080000}"/>
    <cellStyle name="Migliaia 55 3 2 3" xfId="4072" xr:uid="{00000000-0005-0000-0000-0000C2080000}"/>
    <cellStyle name="Migliaia 55 3 3" xfId="1263" xr:uid="{00000000-0005-0000-0000-0000C3080000}"/>
    <cellStyle name="Migliaia 55 3 3 2" xfId="2565" xr:uid="{00000000-0005-0000-0000-0000C4080000}"/>
    <cellStyle name="Migliaia 55 3 4" xfId="2564" xr:uid="{00000000-0005-0000-0000-0000C5080000}"/>
    <cellStyle name="Migliaia 55 3 5" xfId="4073" xr:uid="{00000000-0005-0000-0000-0000C6080000}"/>
    <cellStyle name="Migliaia 55 4" xfId="1264" xr:uid="{00000000-0005-0000-0000-0000C7080000}"/>
    <cellStyle name="Migliaia 55 4 2" xfId="1265" xr:uid="{00000000-0005-0000-0000-0000C8080000}"/>
    <cellStyle name="Migliaia 55 4 2 2" xfId="2567" xr:uid="{00000000-0005-0000-0000-0000C9080000}"/>
    <cellStyle name="Migliaia 55 4 2 3" xfId="4074" xr:uid="{00000000-0005-0000-0000-0000CA080000}"/>
    <cellStyle name="Migliaia 55 4 3" xfId="2566" xr:uid="{00000000-0005-0000-0000-0000CB080000}"/>
    <cellStyle name="Migliaia 55 4 4" xfId="4075" xr:uid="{00000000-0005-0000-0000-0000CC080000}"/>
    <cellStyle name="Migliaia 55 5" xfId="1266" xr:uid="{00000000-0005-0000-0000-0000CD080000}"/>
    <cellStyle name="Migliaia 55 5 2" xfId="4076" xr:uid="{00000000-0005-0000-0000-0000CE080000}"/>
    <cellStyle name="Migliaia 55 6" xfId="4077" xr:uid="{00000000-0005-0000-0000-0000CF080000}"/>
    <cellStyle name="Migliaia 56" xfId="197" xr:uid="{00000000-0005-0000-0000-0000D0080000}"/>
    <cellStyle name="Migliaia 56 2" xfId="539" xr:uid="{00000000-0005-0000-0000-0000D1080000}"/>
    <cellStyle name="Migliaia 56 2 2" xfId="2568" xr:uid="{00000000-0005-0000-0000-0000D2080000}"/>
    <cellStyle name="Migliaia 56 2 2 2" xfId="4078" xr:uid="{00000000-0005-0000-0000-0000D3080000}"/>
    <cellStyle name="Migliaia 56 2 3" xfId="4079" xr:uid="{00000000-0005-0000-0000-0000D4080000}"/>
    <cellStyle name="Migliaia 56 3" xfId="1267" xr:uid="{00000000-0005-0000-0000-0000D5080000}"/>
    <cellStyle name="Migliaia 56 3 2" xfId="1268" xr:uid="{00000000-0005-0000-0000-0000D6080000}"/>
    <cellStyle name="Migliaia 56 3 2 2" xfId="4080" xr:uid="{00000000-0005-0000-0000-0000D7080000}"/>
    <cellStyle name="Migliaia 56 3 2 3" xfId="4081" xr:uid="{00000000-0005-0000-0000-0000D8080000}"/>
    <cellStyle name="Migliaia 56 3 3" xfId="1269" xr:uid="{00000000-0005-0000-0000-0000D9080000}"/>
    <cellStyle name="Migliaia 56 3 3 2" xfId="2570" xr:uid="{00000000-0005-0000-0000-0000DA080000}"/>
    <cellStyle name="Migliaia 56 3 4" xfId="2569" xr:uid="{00000000-0005-0000-0000-0000DB080000}"/>
    <cellStyle name="Migliaia 56 3 5" xfId="4082" xr:uid="{00000000-0005-0000-0000-0000DC080000}"/>
    <cellStyle name="Migliaia 56 4" xfId="1270" xr:uid="{00000000-0005-0000-0000-0000DD080000}"/>
    <cellStyle name="Migliaia 56 4 2" xfId="1271" xr:uid="{00000000-0005-0000-0000-0000DE080000}"/>
    <cellStyle name="Migliaia 56 4 2 2" xfId="2572" xr:uid="{00000000-0005-0000-0000-0000DF080000}"/>
    <cellStyle name="Migliaia 56 4 2 3" xfId="4083" xr:uid="{00000000-0005-0000-0000-0000E0080000}"/>
    <cellStyle name="Migliaia 56 4 3" xfId="2571" xr:uid="{00000000-0005-0000-0000-0000E1080000}"/>
    <cellStyle name="Migliaia 56 4 4" xfId="4084" xr:uid="{00000000-0005-0000-0000-0000E2080000}"/>
    <cellStyle name="Migliaia 56 5" xfId="1272" xr:uid="{00000000-0005-0000-0000-0000E3080000}"/>
    <cellStyle name="Migliaia 56 5 2" xfId="4085" xr:uid="{00000000-0005-0000-0000-0000E4080000}"/>
    <cellStyle name="Migliaia 56 6" xfId="4086" xr:uid="{00000000-0005-0000-0000-0000E5080000}"/>
    <cellStyle name="Migliaia 57" xfId="198" xr:uid="{00000000-0005-0000-0000-0000E6080000}"/>
    <cellStyle name="Migliaia 57 2" xfId="540" xr:uid="{00000000-0005-0000-0000-0000E7080000}"/>
    <cellStyle name="Migliaia 57 2 2" xfId="2573" xr:uid="{00000000-0005-0000-0000-0000E8080000}"/>
    <cellStyle name="Migliaia 57 2 2 2" xfId="4087" xr:uid="{00000000-0005-0000-0000-0000E9080000}"/>
    <cellStyle name="Migliaia 57 2 3" xfId="4088" xr:uid="{00000000-0005-0000-0000-0000EA080000}"/>
    <cellStyle name="Migliaia 57 3" xfId="1273" xr:uid="{00000000-0005-0000-0000-0000EB080000}"/>
    <cellStyle name="Migliaia 57 3 2" xfId="1274" xr:uid="{00000000-0005-0000-0000-0000EC080000}"/>
    <cellStyle name="Migliaia 57 3 2 2" xfId="4089" xr:uid="{00000000-0005-0000-0000-0000ED080000}"/>
    <cellStyle name="Migliaia 57 3 2 3" xfId="4090" xr:uid="{00000000-0005-0000-0000-0000EE080000}"/>
    <cellStyle name="Migliaia 57 3 3" xfId="1275" xr:uid="{00000000-0005-0000-0000-0000EF080000}"/>
    <cellStyle name="Migliaia 57 3 3 2" xfId="2575" xr:uid="{00000000-0005-0000-0000-0000F0080000}"/>
    <cellStyle name="Migliaia 57 3 4" xfId="2574" xr:uid="{00000000-0005-0000-0000-0000F1080000}"/>
    <cellStyle name="Migliaia 57 3 5" xfId="4091" xr:uid="{00000000-0005-0000-0000-0000F2080000}"/>
    <cellStyle name="Migliaia 57 4" xfId="1276" xr:uid="{00000000-0005-0000-0000-0000F3080000}"/>
    <cellStyle name="Migliaia 57 4 2" xfId="1277" xr:uid="{00000000-0005-0000-0000-0000F4080000}"/>
    <cellStyle name="Migliaia 57 4 2 2" xfId="2577" xr:uid="{00000000-0005-0000-0000-0000F5080000}"/>
    <cellStyle name="Migliaia 57 4 2 3" xfId="4092" xr:uid="{00000000-0005-0000-0000-0000F6080000}"/>
    <cellStyle name="Migliaia 57 4 3" xfId="2576" xr:uid="{00000000-0005-0000-0000-0000F7080000}"/>
    <cellStyle name="Migliaia 57 4 4" xfId="4093" xr:uid="{00000000-0005-0000-0000-0000F8080000}"/>
    <cellStyle name="Migliaia 57 5" xfId="1278" xr:uid="{00000000-0005-0000-0000-0000F9080000}"/>
    <cellStyle name="Migliaia 57 5 2" xfId="4094" xr:uid="{00000000-0005-0000-0000-0000FA080000}"/>
    <cellStyle name="Migliaia 57 6" xfId="4095" xr:uid="{00000000-0005-0000-0000-0000FB080000}"/>
    <cellStyle name="Migliaia 58" xfId="199" xr:uid="{00000000-0005-0000-0000-0000FC080000}"/>
    <cellStyle name="Migliaia 58 2" xfId="541" xr:uid="{00000000-0005-0000-0000-0000FD080000}"/>
    <cellStyle name="Migliaia 58 2 2" xfId="2578" xr:uid="{00000000-0005-0000-0000-0000FE080000}"/>
    <cellStyle name="Migliaia 58 2 2 2" xfId="4096" xr:uid="{00000000-0005-0000-0000-0000FF080000}"/>
    <cellStyle name="Migliaia 58 2 3" xfId="4097" xr:uid="{00000000-0005-0000-0000-000000090000}"/>
    <cellStyle name="Migliaia 58 3" xfId="1279" xr:uid="{00000000-0005-0000-0000-000001090000}"/>
    <cellStyle name="Migliaia 58 3 2" xfId="1280" xr:uid="{00000000-0005-0000-0000-000002090000}"/>
    <cellStyle name="Migliaia 58 3 2 2" xfId="4098" xr:uid="{00000000-0005-0000-0000-000003090000}"/>
    <cellStyle name="Migliaia 58 3 2 3" xfId="4099" xr:uid="{00000000-0005-0000-0000-000004090000}"/>
    <cellStyle name="Migliaia 58 3 3" xfId="1281" xr:uid="{00000000-0005-0000-0000-000005090000}"/>
    <cellStyle name="Migliaia 58 3 3 2" xfId="2580" xr:uid="{00000000-0005-0000-0000-000006090000}"/>
    <cellStyle name="Migliaia 58 3 4" xfId="2579" xr:uid="{00000000-0005-0000-0000-000007090000}"/>
    <cellStyle name="Migliaia 58 3 5" xfId="4100" xr:uid="{00000000-0005-0000-0000-000008090000}"/>
    <cellStyle name="Migliaia 58 4" xfId="1282" xr:uid="{00000000-0005-0000-0000-000009090000}"/>
    <cellStyle name="Migliaia 58 4 2" xfId="1283" xr:uid="{00000000-0005-0000-0000-00000A090000}"/>
    <cellStyle name="Migliaia 58 4 2 2" xfId="2582" xr:uid="{00000000-0005-0000-0000-00000B090000}"/>
    <cellStyle name="Migliaia 58 4 2 3" xfId="4101" xr:uid="{00000000-0005-0000-0000-00000C090000}"/>
    <cellStyle name="Migliaia 58 4 3" xfId="2581" xr:uid="{00000000-0005-0000-0000-00000D090000}"/>
    <cellStyle name="Migliaia 58 4 4" xfId="4102" xr:uid="{00000000-0005-0000-0000-00000E090000}"/>
    <cellStyle name="Migliaia 58 5" xfId="1284" xr:uid="{00000000-0005-0000-0000-00000F090000}"/>
    <cellStyle name="Migliaia 58 5 2" xfId="4103" xr:uid="{00000000-0005-0000-0000-000010090000}"/>
    <cellStyle name="Migliaia 58 6" xfId="4104" xr:uid="{00000000-0005-0000-0000-000011090000}"/>
    <cellStyle name="Migliaia 59" xfId="200" xr:uid="{00000000-0005-0000-0000-000012090000}"/>
    <cellStyle name="Migliaia 59 2" xfId="542" xr:uid="{00000000-0005-0000-0000-000013090000}"/>
    <cellStyle name="Migliaia 59 2 2" xfId="2583" xr:uid="{00000000-0005-0000-0000-000014090000}"/>
    <cellStyle name="Migliaia 59 2 2 2" xfId="4105" xr:uid="{00000000-0005-0000-0000-000015090000}"/>
    <cellStyle name="Migliaia 59 2 3" xfId="4106" xr:uid="{00000000-0005-0000-0000-000016090000}"/>
    <cellStyle name="Migliaia 59 3" xfId="1285" xr:uid="{00000000-0005-0000-0000-000017090000}"/>
    <cellStyle name="Migliaia 59 3 2" xfId="1286" xr:uid="{00000000-0005-0000-0000-000018090000}"/>
    <cellStyle name="Migliaia 59 3 2 2" xfId="4107" xr:uid="{00000000-0005-0000-0000-000019090000}"/>
    <cellStyle name="Migliaia 59 3 2 3" xfId="4108" xr:uid="{00000000-0005-0000-0000-00001A090000}"/>
    <cellStyle name="Migliaia 59 3 3" xfId="1287" xr:uid="{00000000-0005-0000-0000-00001B090000}"/>
    <cellStyle name="Migliaia 59 3 3 2" xfId="2585" xr:uid="{00000000-0005-0000-0000-00001C090000}"/>
    <cellStyle name="Migliaia 59 3 4" xfId="2584" xr:uid="{00000000-0005-0000-0000-00001D090000}"/>
    <cellStyle name="Migliaia 59 3 5" xfId="4109" xr:uid="{00000000-0005-0000-0000-00001E090000}"/>
    <cellStyle name="Migliaia 59 4" xfId="1288" xr:uid="{00000000-0005-0000-0000-00001F090000}"/>
    <cellStyle name="Migliaia 59 4 2" xfId="1289" xr:uid="{00000000-0005-0000-0000-000020090000}"/>
    <cellStyle name="Migliaia 59 4 2 2" xfId="2587" xr:uid="{00000000-0005-0000-0000-000021090000}"/>
    <cellStyle name="Migliaia 59 4 2 3" xfId="4110" xr:uid="{00000000-0005-0000-0000-000022090000}"/>
    <cellStyle name="Migliaia 59 4 3" xfId="2586" xr:uid="{00000000-0005-0000-0000-000023090000}"/>
    <cellStyle name="Migliaia 59 4 4" xfId="4111" xr:uid="{00000000-0005-0000-0000-000024090000}"/>
    <cellStyle name="Migliaia 59 5" xfId="1290" xr:uid="{00000000-0005-0000-0000-000025090000}"/>
    <cellStyle name="Migliaia 59 5 2" xfId="4112" xr:uid="{00000000-0005-0000-0000-000026090000}"/>
    <cellStyle name="Migliaia 59 6" xfId="4113" xr:uid="{00000000-0005-0000-0000-000027090000}"/>
    <cellStyle name="Migliaia 6" xfId="201" xr:uid="{00000000-0005-0000-0000-000028090000}"/>
    <cellStyle name="Migliaia 6 2" xfId="543" xr:uid="{00000000-0005-0000-0000-000029090000}"/>
    <cellStyle name="Migliaia 6 2 2" xfId="2588" xr:uid="{00000000-0005-0000-0000-00002A090000}"/>
    <cellStyle name="Migliaia 6 2 2 2" xfId="4114" xr:uid="{00000000-0005-0000-0000-00002B090000}"/>
    <cellStyle name="Migliaia 6 2 3" xfId="4115" xr:uid="{00000000-0005-0000-0000-00002C090000}"/>
    <cellStyle name="Migliaia 6 3" xfId="1291" xr:uid="{00000000-0005-0000-0000-00002D090000}"/>
    <cellStyle name="Migliaia 6 3 2" xfId="1292" xr:uid="{00000000-0005-0000-0000-00002E090000}"/>
    <cellStyle name="Migliaia 6 3 2 2" xfId="4116" xr:uid="{00000000-0005-0000-0000-00002F090000}"/>
    <cellStyle name="Migliaia 6 3 2 3" xfId="4117" xr:uid="{00000000-0005-0000-0000-000030090000}"/>
    <cellStyle name="Migliaia 6 3 3" xfId="1293" xr:uid="{00000000-0005-0000-0000-000031090000}"/>
    <cellStyle name="Migliaia 6 3 3 2" xfId="2590" xr:uid="{00000000-0005-0000-0000-000032090000}"/>
    <cellStyle name="Migliaia 6 3 4" xfId="2589" xr:uid="{00000000-0005-0000-0000-000033090000}"/>
    <cellStyle name="Migliaia 6 3 5" xfId="4118" xr:uid="{00000000-0005-0000-0000-000034090000}"/>
    <cellStyle name="Migliaia 6 4" xfId="1294" xr:uid="{00000000-0005-0000-0000-000035090000}"/>
    <cellStyle name="Migliaia 6 4 2" xfId="1295" xr:uid="{00000000-0005-0000-0000-000036090000}"/>
    <cellStyle name="Migliaia 6 4 2 2" xfId="2592" xr:uid="{00000000-0005-0000-0000-000037090000}"/>
    <cellStyle name="Migliaia 6 4 2 3" xfId="4119" xr:uid="{00000000-0005-0000-0000-000038090000}"/>
    <cellStyle name="Migliaia 6 4 3" xfId="2591" xr:uid="{00000000-0005-0000-0000-000039090000}"/>
    <cellStyle name="Migliaia 6 4 4" xfId="4120" xr:uid="{00000000-0005-0000-0000-00003A090000}"/>
    <cellStyle name="Migliaia 6 5" xfId="1296" xr:uid="{00000000-0005-0000-0000-00003B090000}"/>
    <cellStyle name="Migliaia 6 5 2" xfId="4121" xr:uid="{00000000-0005-0000-0000-00003C090000}"/>
    <cellStyle name="Migliaia 6 6" xfId="4122" xr:uid="{00000000-0005-0000-0000-00003D090000}"/>
    <cellStyle name="Migliaia 60" xfId="202" xr:uid="{00000000-0005-0000-0000-00003E090000}"/>
    <cellStyle name="Migliaia 60 2" xfId="544" xr:uid="{00000000-0005-0000-0000-00003F090000}"/>
    <cellStyle name="Migliaia 60 2 2" xfId="2593" xr:uid="{00000000-0005-0000-0000-000040090000}"/>
    <cellStyle name="Migliaia 60 2 2 2" xfId="4123" xr:uid="{00000000-0005-0000-0000-000041090000}"/>
    <cellStyle name="Migliaia 60 2 3" xfId="4124" xr:uid="{00000000-0005-0000-0000-000042090000}"/>
    <cellStyle name="Migliaia 60 3" xfId="1297" xr:uid="{00000000-0005-0000-0000-000043090000}"/>
    <cellStyle name="Migliaia 60 3 2" xfId="1298" xr:uid="{00000000-0005-0000-0000-000044090000}"/>
    <cellStyle name="Migliaia 60 3 2 2" xfId="4125" xr:uid="{00000000-0005-0000-0000-000045090000}"/>
    <cellStyle name="Migliaia 60 3 2 3" xfId="4126" xr:uid="{00000000-0005-0000-0000-000046090000}"/>
    <cellStyle name="Migliaia 60 3 3" xfId="1299" xr:uid="{00000000-0005-0000-0000-000047090000}"/>
    <cellStyle name="Migliaia 60 3 3 2" xfId="2595" xr:uid="{00000000-0005-0000-0000-000048090000}"/>
    <cellStyle name="Migliaia 60 3 4" xfId="2594" xr:uid="{00000000-0005-0000-0000-000049090000}"/>
    <cellStyle name="Migliaia 60 3 5" xfId="4127" xr:uid="{00000000-0005-0000-0000-00004A090000}"/>
    <cellStyle name="Migliaia 60 4" xfId="1300" xr:uid="{00000000-0005-0000-0000-00004B090000}"/>
    <cellStyle name="Migliaia 60 4 2" xfId="1301" xr:uid="{00000000-0005-0000-0000-00004C090000}"/>
    <cellStyle name="Migliaia 60 4 2 2" xfId="2597" xr:uid="{00000000-0005-0000-0000-00004D090000}"/>
    <cellStyle name="Migliaia 60 4 2 3" xfId="4128" xr:uid="{00000000-0005-0000-0000-00004E090000}"/>
    <cellStyle name="Migliaia 60 4 3" xfId="2596" xr:uid="{00000000-0005-0000-0000-00004F090000}"/>
    <cellStyle name="Migliaia 60 4 4" xfId="4129" xr:uid="{00000000-0005-0000-0000-000050090000}"/>
    <cellStyle name="Migliaia 60 5" xfId="1302" xr:uid="{00000000-0005-0000-0000-000051090000}"/>
    <cellStyle name="Migliaia 60 5 2" xfId="4130" xr:uid="{00000000-0005-0000-0000-000052090000}"/>
    <cellStyle name="Migliaia 60 6" xfId="4131" xr:uid="{00000000-0005-0000-0000-000053090000}"/>
    <cellStyle name="Migliaia 61" xfId="203" xr:uid="{00000000-0005-0000-0000-000054090000}"/>
    <cellStyle name="Migliaia 61 2" xfId="545" xr:uid="{00000000-0005-0000-0000-000055090000}"/>
    <cellStyle name="Migliaia 61 2 2" xfId="2598" xr:uid="{00000000-0005-0000-0000-000056090000}"/>
    <cellStyle name="Migliaia 61 2 2 2" xfId="4132" xr:uid="{00000000-0005-0000-0000-000057090000}"/>
    <cellStyle name="Migliaia 61 2 3" xfId="4133" xr:uid="{00000000-0005-0000-0000-000058090000}"/>
    <cellStyle name="Migliaia 61 3" xfId="1303" xr:uid="{00000000-0005-0000-0000-000059090000}"/>
    <cellStyle name="Migliaia 61 3 2" xfId="1304" xr:uid="{00000000-0005-0000-0000-00005A090000}"/>
    <cellStyle name="Migliaia 61 3 2 2" xfId="4134" xr:uid="{00000000-0005-0000-0000-00005B090000}"/>
    <cellStyle name="Migliaia 61 3 2 3" xfId="4135" xr:uid="{00000000-0005-0000-0000-00005C090000}"/>
    <cellStyle name="Migliaia 61 3 3" xfId="1305" xr:uid="{00000000-0005-0000-0000-00005D090000}"/>
    <cellStyle name="Migliaia 61 3 3 2" xfId="2600" xr:uid="{00000000-0005-0000-0000-00005E090000}"/>
    <cellStyle name="Migliaia 61 3 4" xfId="2599" xr:uid="{00000000-0005-0000-0000-00005F090000}"/>
    <cellStyle name="Migliaia 61 3 5" xfId="4136" xr:uid="{00000000-0005-0000-0000-000060090000}"/>
    <cellStyle name="Migliaia 61 4" xfId="1306" xr:uid="{00000000-0005-0000-0000-000061090000}"/>
    <cellStyle name="Migliaia 61 4 2" xfId="1307" xr:uid="{00000000-0005-0000-0000-000062090000}"/>
    <cellStyle name="Migliaia 61 4 2 2" xfId="2602" xr:uid="{00000000-0005-0000-0000-000063090000}"/>
    <cellStyle name="Migliaia 61 4 2 3" xfId="4137" xr:uid="{00000000-0005-0000-0000-000064090000}"/>
    <cellStyle name="Migliaia 61 4 3" xfId="2601" xr:uid="{00000000-0005-0000-0000-000065090000}"/>
    <cellStyle name="Migliaia 61 4 4" xfId="4138" xr:uid="{00000000-0005-0000-0000-000066090000}"/>
    <cellStyle name="Migliaia 61 5" xfId="1308" xr:uid="{00000000-0005-0000-0000-000067090000}"/>
    <cellStyle name="Migliaia 61 5 2" xfId="4139" xr:uid="{00000000-0005-0000-0000-000068090000}"/>
    <cellStyle name="Migliaia 61 6" xfId="4140" xr:uid="{00000000-0005-0000-0000-000069090000}"/>
    <cellStyle name="Migliaia 7" xfId="204" xr:uid="{00000000-0005-0000-0000-00006A090000}"/>
    <cellStyle name="Migliaia 7 2" xfId="546" xr:uid="{00000000-0005-0000-0000-00006B090000}"/>
    <cellStyle name="Migliaia 7 2 2" xfId="2603" xr:uid="{00000000-0005-0000-0000-00006C090000}"/>
    <cellStyle name="Migliaia 7 2 2 2" xfId="4141" xr:uid="{00000000-0005-0000-0000-00006D090000}"/>
    <cellStyle name="Migliaia 7 2 3" xfId="4142" xr:uid="{00000000-0005-0000-0000-00006E090000}"/>
    <cellStyle name="Migliaia 7 3" xfId="1309" xr:uid="{00000000-0005-0000-0000-00006F090000}"/>
    <cellStyle name="Migliaia 7 3 2" xfId="1310" xr:uid="{00000000-0005-0000-0000-000070090000}"/>
    <cellStyle name="Migliaia 7 3 2 2" xfId="4143" xr:uid="{00000000-0005-0000-0000-000071090000}"/>
    <cellStyle name="Migliaia 7 3 2 3" xfId="4144" xr:uid="{00000000-0005-0000-0000-000072090000}"/>
    <cellStyle name="Migliaia 7 3 3" xfId="1311" xr:uid="{00000000-0005-0000-0000-000073090000}"/>
    <cellStyle name="Migliaia 7 3 3 2" xfId="2605" xr:uid="{00000000-0005-0000-0000-000074090000}"/>
    <cellStyle name="Migliaia 7 3 4" xfId="2604" xr:uid="{00000000-0005-0000-0000-000075090000}"/>
    <cellStyle name="Migliaia 7 3 5" xfId="4145" xr:uid="{00000000-0005-0000-0000-000076090000}"/>
    <cellStyle name="Migliaia 7 4" xfId="1312" xr:uid="{00000000-0005-0000-0000-000077090000}"/>
    <cellStyle name="Migliaia 7 4 2" xfId="1313" xr:uid="{00000000-0005-0000-0000-000078090000}"/>
    <cellStyle name="Migliaia 7 4 2 2" xfId="2607" xr:uid="{00000000-0005-0000-0000-000079090000}"/>
    <cellStyle name="Migliaia 7 4 2 3" xfId="4146" xr:uid="{00000000-0005-0000-0000-00007A090000}"/>
    <cellStyle name="Migliaia 7 4 3" xfId="2606" xr:uid="{00000000-0005-0000-0000-00007B090000}"/>
    <cellStyle name="Migliaia 7 4 4" xfId="4147" xr:uid="{00000000-0005-0000-0000-00007C090000}"/>
    <cellStyle name="Migliaia 7 5" xfId="1314" xr:uid="{00000000-0005-0000-0000-00007D090000}"/>
    <cellStyle name="Migliaia 7 5 2" xfId="4148" xr:uid="{00000000-0005-0000-0000-00007E090000}"/>
    <cellStyle name="Migliaia 7 6" xfId="4149" xr:uid="{00000000-0005-0000-0000-00007F090000}"/>
    <cellStyle name="Migliaia 8" xfId="205" xr:uid="{00000000-0005-0000-0000-000080090000}"/>
    <cellStyle name="Migliaia 8 2" xfId="547" xr:uid="{00000000-0005-0000-0000-000081090000}"/>
    <cellStyle name="Migliaia 8 2 2" xfId="2608" xr:uid="{00000000-0005-0000-0000-000082090000}"/>
    <cellStyle name="Migliaia 8 2 2 2" xfId="4150" xr:uid="{00000000-0005-0000-0000-000083090000}"/>
    <cellStyle name="Migliaia 8 2 3" xfId="4151" xr:uid="{00000000-0005-0000-0000-000084090000}"/>
    <cellStyle name="Migliaia 8 3" xfId="1315" xr:uid="{00000000-0005-0000-0000-000085090000}"/>
    <cellStyle name="Migliaia 8 3 2" xfId="1316" xr:uid="{00000000-0005-0000-0000-000086090000}"/>
    <cellStyle name="Migliaia 8 3 2 2" xfId="4152" xr:uid="{00000000-0005-0000-0000-000087090000}"/>
    <cellStyle name="Migliaia 8 3 2 3" xfId="4153" xr:uid="{00000000-0005-0000-0000-000088090000}"/>
    <cellStyle name="Migliaia 8 3 3" xfId="1317" xr:uid="{00000000-0005-0000-0000-000089090000}"/>
    <cellStyle name="Migliaia 8 3 3 2" xfId="2610" xr:uid="{00000000-0005-0000-0000-00008A090000}"/>
    <cellStyle name="Migliaia 8 3 4" xfId="2609" xr:uid="{00000000-0005-0000-0000-00008B090000}"/>
    <cellStyle name="Migliaia 8 3 5" xfId="4154" xr:uid="{00000000-0005-0000-0000-00008C090000}"/>
    <cellStyle name="Migliaia 8 4" xfId="1318" xr:uid="{00000000-0005-0000-0000-00008D090000}"/>
    <cellStyle name="Migliaia 8 4 2" xfId="1319" xr:uid="{00000000-0005-0000-0000-00008E090000}"/>
    <cellStyle name="Migliaia 8 4 2 2" xfId="2612" xr:uid="{00000000-0005-0000-0000-00008F090000}"/>
    <cellStyle name="Migliaia 8 4 2 3" xfId="4155" xr:uid="{00000000-0005-0000-0000-000090090000}"/>
    <cellStyle name="Migliaia 8 4 3" xfId="2611" xr:uid="{00000000-0005-0000-0000-000091090000}"/>
    <cellStyle name="Migliaia 8 4 4" xfId="4156" xr:uid="{00000000-0005-0000-0000-000092090000}"/>
    <cellStyle name="Migliaia 8 5" xfId="1320" xr:uid="{00000000-0005-0000-0000-000093090000}"/>
    <cellStyle name="Migliaia 8 5 2" xfId="4157" xr:uid="{00000000-0005-0000-0000-000094090000}"/>
    <cellStyle name="Migliaia 8 6" xfId="4158" xr:uid="{00000000-0005-0000-0000-000095090000}"/>
    <cellStyle name="Migliaia 9" xfId="206" xr:uid="{00000000-0005-0000-0000-000096090000}"/>
    <cellStyle name="Migliaia 9 2" xfId="548" xr:uid="{00000000-0005-0000-0000-000097090000}"/>
    <cellStyle name="Migliaia 9 2 2" xfId="2613" xr:uid="{00000000-0005-0000-0000-000098090000}"/>
    <cellStyle name="Migliaia 9 2 2 2" xfId="4159" xr:uid="{00000000-0005-0000-0000-000099090000}"/>
    <cellStyle name="Migliaia 9 2 3" xfId="4160" xr:uid="{00000000-0005-0000-0000-00009A090000}"/>
    <cellStyle name="Migliaia 9 3" xfId="1321" xr:uid="{00000000-0005-0000-0000-00009B090000}"/>
    <cellStyle name="Migliaia 9 3 2" xfId="1322" xr:uid="{00000000-0005-0000-0000-00009C090000}"/>
    <cellStyle name="Migliaia 9 3 2 2" xfId="4161" xr:uid="{00000000-0005-0000-0000-00009D090000}"/>
    <cellStyle name="Migliaia 9 3 2 3" xfId="4162" xr:uid="{00000000-0005-0000-0000-00009E090000}"/>
    <cellStyle name="Migliaia 9 3 3" xfId="1323" xr:uid="{00000000-0005-0000-0000-00009F090000}"/>
    <cellStyle name="Migliaia 9 3 3 2" xfId="2615" xr:uid="{00000000-0005-0000-0000-0000A0090000}"/>
    <cellStyle name="Migliaia 9 3 4" xfId="2614" xr:uid="{00000000-0005-0000-0000-0000A1090000}"/>
    <cellStyle name="Migliaia 9 3 5" xfId="4163" xr:uid="{00000000-0005-0000-0000-0000A2090000}"/>
    <cellStyle name="Migliaia 9 4" xfId="1324" xr:uid="{00000000-0005-0000-0000-0000A3090000}"/>
    <cellStyle name="Migliaia 9 4 2" xfId="1325" xr:uid="{00000000-0005-0000-0000-0000A4090000}"/>
    <cellStyle name="Migliaia 9 4 2 2" xfId="2617" xr:uid="{00000000-0005-0000-0000-0000A5090000}"/>
    <cellStyle name="Migliaia 9 4 2 3" xfId="4164" xr:uid="{00000000-0005-0000-0000-0000A6090000}"/>
    <cellStyle name="Migliaia 9 4 3" xfId="2616" xr:uid="{00000000-0005-0000-0000-0000A7090000}"/>
    <cellStyle name="Migliaia 9 4 4" xfId="4165" xr:uid="{00000000-0005-0000-0000-0000A8090000}"/>
    <cellStyle name="Migliaia 9 5" xfId="1326" xr:uid="{00000000-0005-0000-0000-0000A9090000}"/>
    <cellStyle name="Migliaia 9 5 2" xfId="4166" xr:uid="{00000000-0005-0000-0000-0000AA090000}"/>
    <cellStyle name="Migliaia 9 6" xfId="4167" xr:uid="{00000000-0005-0000-0000-0000AB090000}"/>
    <cellStyle name="Neutral 2" xfId="443" xr:uid="{00000000-0005-0000-0000-0000AC090000}"/>
    <cellStyle name="Neutral 2 2" xfId="4168" xr:uid="{00000000-0005-0000-0000-0000AD090000}"/>
    <cellStyle name="Neutrale" xfId="207" xr:uid="{00000000-0005-0000-0000-0000AE090000}"/>
    <cellStyle name="Normal" xfId="0" builtinId="0"/>
    <cellStyle name="Normal 10" xfId="1327" xr:uid="{00000000-0005-0000-0000-0000B0090000}"/>
    <cellStyle name="Normal 10 2" xfId="2618" xr:uid="{00000000-0005-0000-0000-0000B1090000}"/>
    <cellStyle name="Normal 11" xfId="2012" xr:uid="{00000000-0005-0000-0000-0000B2090000}"/>
    <cellStyle name="Normal 11 2" xfId="3268" xr:uid="{00000000-0005-0000-0000-0000B3090000}"/>
    <cellStyle name="Normal 11 3" xfId="3270" xr:uid="{00000000-0005-0000-0000-0000B4090000}"/>
    <cellStyle name="Normal 12" xfId="2014" xr:uid="{00000000-0005-0000-0000-0000B5090000}"/>
    <cellStyle name="Normal 12 2" xfId="4169" xr:uid="{00000000-0005-0000-0000-0000B6090000}"/>
    <cellStyle name="Normal 12 3" xfId="4170" xr:uid="{00000000-0005-0000-0000-0000B7090000}"/>
    <cellStyle name="Normal 13" xfId="657" xr:uid="{00000000-0005-0000-0000-0000B8090000}"/>
    <cellStyle name="Normal 13 2" xfId="4490" xr:uid="{00000000-0005-0000-0000-0000B9090000}"/>
    <cellStyle name="Normal 14" xfId="4171" xr:uid="{00000000-0005-0000-0000-0000BA090000}"/>
    <cellStyle name="Normal 15" xfId="4172" xr:uid="{00000000-0005-0000-0000-0000BB090000}"/>
    <cellStyle name="Normal 16" xfId="4173" xr:uid="{00000000-0005-0000-0000-0000BC090000}"/>
    <cellStyle name="Normal 16 2" xfId="4174" xr:uid="{00000000-0005-0000-0000-0000BD090000}"/>
    <cellStyle name="Normal 16 3" xfId="4175" xr:uid="{00000000-0005-0000-0000-0000BE090000}"/>
    <cellStyle name="Normal 17" xfId="4176" xr:uid="{00000000-0005-0000-0000-0000BF090000}"/>
    <cellStyle name="Normal 17 2" xfId="4177" xr:uid="{00000000-0005-0000-0000-0000C0090000}"/>
    <cellStyle name="Normal 18" xfId="4178" xr:uid="{00000000-0005-0000-0000-0000C1090000}"/>
    <cellStyle name="Normal 18 2" xfId="4179" xr:uid="{00000000-0005-0000-0000-0000C2090000}"/>
    <cellStyle name="Normal 19" xfId="4180" xr:uid="{00000000-0005-0000-0000-0000C3090000}"/>
    <cellStyle name="Normal 19 2" xfId="4181" xr:uid="{00000000-0005-0000-0000-0000C4090000}"/>
    <cellStyle name="Normal 19 3" xfId="4182" xr:uid="{00000000-0005-0000-0000-0000C5090000}"/>
    <cellStyle name="Normal 2" xfId="1" xr:uid="{00000000-0005-0000-0000-0000C6090000}"/>
    <cellStyle name="Normal 2 2" xfId="9" xr:uid="{00000000-0005-0000-0000-0000C7090000}"/>
    <cellStyle name="Normal 2 2 2" xfId="1328" xr:uid="{00000000-0005-0000-0000-0000C8090000}"/>
    <cellStyle name="Normal 2 2 2 2" xfId="1329" xr:uid="{00000000-0005-0000-0000-0000C9090000}"/>
    <cellStyle name="Normal 2 2 2 2 2" xfId="4183" xr:uid="{00000000-0005-0000-0000-0000CA090000}"/>
    <cellStyle name="Normal 2 2 2 2 2 2" xfId="4184" xr:uid="{00000000-0005-0000-0000-0000CB090000}"/>
    <cellStyle name="Normal 2 2 2 2 3" xfId="4185" xr:uid="{00000000-0005-0000-0000-0000CC090000}"/>
    <cellStyle name="Normal 2 2 2 2 4" xfId="4186" xr:uid="{00000000-0005-0000-0000-0000CD090000}"/>
    <cellStyle name="Normal 2 2 2 3" xfId="2620" xr:uid="{00000000-0005-0000-0000-0000CE090000}"/>
    <cellStyle name="Normal 2 2 2 4" xfId="4187" xr:uid="{00000000-0005-0000-0000-0000CF090000}"/>
    <cellStyle name="Normal 2 2 3" xfId="4188" xr:uid="{00000000-0005-0000-0000-0000D0090000}"/>
    <cellStyle name="Normal 2 2 3 2" xfId="4189" xr:uid="{00000000-0005-0000-0000-0000D1090000}"/>
    <cellStyle name="Normal 2 2 3 2 2" xfId="4190" xr:uid="{00000000-0005-0000-0000-0000D2090000}"/>
    <cellStyle name="Normal 2 2 3 3" xfId="4191" xr:uid="{00000000-0005-0000-0000-0000D3090000}"/>
    <cellStyle name="Normal 2 2 4" xfId="4192" xr:uid="{00000000-0005-0000-0000-0000D4090000}"/>
    <cellStyle name="Normal 2 2 4 2" xfId="4193" xr:uid="{00000000-0005-0000-0000-0000D5090000}"/>
    <cellStyle name="Normal 2 2 5" xfId="4194" xr:uid="{00000000-0005-0000-0000-0000D6090000}"/>
    <cellStyle name="Normal 2 3" xfId="1330" xr:uid="{00000000-0005-0000-0000-0000D7090000}"/>
    <cellStyle name="Normal 2 3 2" xfId="4195" xr:uid="{00000000-0005-0000-0000-0000D8090000}"/>
    <cellStyle name="Normal 2 4" xfId="1331" xr:uid="{00000000-0005-0000-0000-0000D9090000}"/>
    <cellStyle name="Normal 2 4 2" xfId="2621" xr:uid="{00000000-0005-0000-0000-0000DA090000}"/>
    <cellStyle name="Normal 2 4 2 2" xfId="4196" xr:uid="{00000000-0005-0000-0000-0000DB090000}"/>
    <cellStyle name="Normal 2 4 2 3" xfId="4197" xr:uid="{00000000-0005-0000-0000-0000DC090000}"/>
    <cellStyle name="Normal 2 4 3" xfId="4198" xr:uid="{00000000-0005-0000-0000-0000DD090000}"/>
    <cellStyle name="Normal 2 4 4" xfId="4199" xr:uid="{00000000-0005-0000-0000-0000DE090000}"/>
    <cellStyle name="Normal 2 5" xfId="2619" xr:uid="{00000000-0005-0000-0000-0000DF090000}"/>
    <cellStyle name="Normal 2_Plants" xfId="4200" xr:uid="{00000000-0005-0000-0000-0000E0090000}"/>
    <cellStyle name="Normal 20" xfId="4201" xr:uid="{00000000-0005-0000-0000-0000E1090000}"/>
    <cellStyle name="Normal 21" xfId="4202" xr:uid="{00000000-0005-0000-0000-0000E2090000}"/>
    <cellStyle name="Normal 22" xfId="4203" xr:uid="{00000000-0005-0000-0000-0000E3090000}"/>
    <cellStyle name="Normal 23" xfId="4204" xr:uid="{00000000-0005-0000-0000-0000E4090000}"/>
    <cellStyle name="Normal 24" xfId="4205" xr:uid="{00000000-0005-0000-0000-0000E5090000}"/>
    <cellStyle name="Normal 25" xfId="4206" xr:uid="{00000000-0005-0000-0000-0000E6090000}"/>
    <cellStyle name="Normal 26" xfId="4207" xr:uid="{00000000-0005-0000-0000-0000E7090000}"/>
    <cellStyle name="Normal 27" xfId="4208" xr:uid="{00000000-0005-0000-0000-0000E8090000}"/>
    <cellStyle name="Normal 28" xfId="4209" xr:uid="{00000000-0005-0000-0000-0000E9090000}"/>
    <cellStyle name="Normal 29" xfId="4210" xr:uid="{00000000-0005-0000-0000-0000EA090000}"/>
    <cellStyle name="Normal 29 2" xfId="4211" xr:uid="{00000000-0005-0000-0000-0000EB090000}"/>
    <cellStyle name="Normal 3" xfId="2" xr:uid="{00000000-0005-0000-0000-0000EC090000}"/>
    <cellStyle name="Normal 3 10" xfId="4212" xr:uid="{00000000-0005-0000-0000-0000ED090000}"/>
    <cellStyle name="Normal 3 11" xfId="4213" xr:uid="{00000000-0005-0000-0000-0000EE090000}"/>
    <cellStyle name="Normal 3 12" xfId="4214" xr:uid="{00000000-0005-0000-0000-0000EF090000}"/>
    <cellStyle name="Normal 3 13" xfId="4215" xr:uid="{00000000-0005-0000-0000-0000F0090000}"/>
    <cellStyle name="Normal 3 14" xfId="4216" xr:uid="{00000000-0005-0000-0000-0000F1090000}"/>
    <cellStyle name="Normal 3 15" xfId="4217" xr:uid="{00000000-0005-0000-0000-0000F2090000}"/>
    <cellStyle name="Normal 3 16" xfId="4218" xr:uid="{00000000-0005-0000-0000-0000F3090000}"/>
    <cellStyle name="Normal 3 2" xfId="1333" xr:uid="{00000000-0005-0000-0000-0000F4090000}"/>
    <cellStyle name="Normal 3 2 2" xfId="1334" xr:uid="{00000000-0005-0000-0000-0000F5090000}"/>
    <cellStyle name="Normal 3 2 2 2" xfId="2623" xr:uid="{00000000-0005-0000-0000-0000F6090000}"/>
    <cellStyle name="Normal 3 2 2 3" xfId="4219" xr:uid="{00000000-0005-0000-0000-0000F7090000}"/>
    <cellStyle name="Normal 3 2 2 3 2" xfId="4220" xr:uid="{00000000-0005-0000-0000-0000F8090000}"/>
    <cellStyle name="Normal 3 2 2 4" xfId="4221" xr:uid="{00000000-0005-0000-0000-0000F9090000}"/>
    <cellStyle name="Normal 3 2 3" xfId="2622" xr:uid="{00000000-0005-0000-0000-0000FA090000}"/>
    <cellStyle name="Normal 3 2 3 2" xfId="4222" xr:uid="{00000000-0005-0000-0000-0000FB090000}"/>
    <cellStyle name="Normal 3 2 3 2 2" xfId="4223" xr:uid="{00000000-0005-0000-0000-0000FC090000}"/>
    <cellStyle name="Normal 3 2 3 3" xfId="4224" xr:uid="{00000000-0005-0000-0000-0000FD090000}"/>
    <cellStyle name="Normal 3 2 3 4" xfId="4225" xr:uid="{00000000-0005-0000-0000-0000FE090000}"/>
    <cellStyle name="Normal 3 2 4" xfId="4226" xr:uid="{00000000-0005-0000-0000-0000FF090000}"/>
    <cellStyle name="Normal 3 2 4 2" xfId="4227" xr:uid="{00000000-0005-0000-0000-0000000A0000}"/>
    <cellStyle name="Normal 3 2 5" xfId="4228" xr:uid="{00000000-0005-0000-0000-0000010A0000}"/>
    <cellStyle name="Normal 3 2 6" xfId="4229" xr:uid="{00000000-0005-0000-0000-0000020A0000}"/>
    <cellStyle name="Normal 3 3" xfId="1335" xr:uid="{00000000-0005-0000-0000-0000030A0000}"/>
    <cellStyle name="Normal 3 3 2" xfId="2624" xr:uid="{00000000-0005-0000-0000-0000040A0000}"/>
    <cellStyle name="Normal 3 3 2 2" xfId="4230" xr:uid="{00000000-0005-0000-0000-0000050A0000}"/>
    <cellStyle name="Normal 3 3 2 2 2" xfId="4231" xr:uid="{00000000-0005-0000-0000-0000060A0000}"/>
    <cellStyle name="Normal 3 3 2 3" xfId="4232" xr:uid="{00000000-0005-0000-0000-0000070A0000}"/>
    <cellStyle name="Normal 3 3 2 4" xfId="4233" xr:uid="{00000000-0005-0000-0000-0000080A0000}"/>
    <cellStyle name="Normal 3 3 3" xfId="4234" xr:uid="{00000000-0005-0000-0000-0000090A0000}"/>
    <cellStyle name="Normal 3 3 3 2" xfId="4235" xr:uid="{00000000-0005-0000-0000-00000A0A0000}"/>
    <cellStyle name="Normal 3 3 4" xfId="4236" xr:uid="{00000000-0005-0000-0000-00000B0A0000}"/>
    <cellStyle name="Normal 3 3 5" xfId="4237" xr:uid="{00000000-0005-0000-0000-00000C0A0000}"/>
    <cellStyle name="Normal 3 4" xfId="1332" xr:uid="{00000000-0005-0000-0000-00000D0A0000}"/>
    <cellStyle name="Normal 3 4 2" xfId="4238" xr:uid="{00000000-0005-0000-0000-00000E0A0000}"/>
    <cellStyle name="Normal 3 5" xfId="4239" xr:uid="{00000000-0005-0000-0000-00000F0A0000}"/>
    <cellStyle name="Normal 3 6" xfId="4240" xr:uid="{00000000-0005-0000-0000-0000100A0000}"/>
    <cellStyle name="Normal 3 6 2" xfId="4241" xr:uid="{00000000-0005-0000-0000-0000110A0000}"/>
    <cellStyle name="Normal 3 7" xfId="4242" xr:uid="{00000000-0005-0000-0000-0000120A0000}"/>
    <cellStyle name="Normal 3 8" xfId="4243" xr:uid="{00000000-0005-0000-0000-0000130A0000}"/>
    <cellStyle name="Normal 3 9" xfId="4244" xr:uid="{00000000-0005-0000-0000-0000140A0000}"/>
    <cellStyle name="Normal 30" xfId="4245" xr:uid="{00000000-0005-0000-0000-0000150A0000}"/>
    <cellStyle name="Normal 31" xfId="4246" xr:uid="{00000000-0005-0000-0000-0000160A0000}"/>
    <cellStyle name="Normal 32" xfId="4247" xr:uid="{00000000-0005-0000-0000-0000170A0000}"/>
    <cellStyle name="Normal 33" xfId="4248" xr:uid="{00000000-0005-0000-0000-0000180A0000}"/>
    <cellStyle name="Normal 34" xfId="4249" xr:uid="{00000000-0005-0000-0000-0000190A0000}"/>
    <cellStyle name="Normal 4" xfId="3" xr:uid="{00000000-0005-0000-0000-00001A0A0000}"/>
    <cellStyle name="Normal 4 10" xfId="4250" xr:uid="{00000000-0005-0000-0000-00001B0A0000}"/>
    <cellStyle name="Normal 4 11" xfId="4251" xr:uid="{00000000-0005-0000-0000-00001C0A0000}"/>
    <cellStyle name="Normal 4 12" xfId="4252" xr:uid="{00000000-0005-0000-0000-00001D0A0000}"/>
    <cellStyle name="Normal 4 13" xfId="4253" xr:uid="{00000000-0005-0000-0000-00001E0A0000}"/>
    <cellStyle name="Normal 4 14" xfId="4254" xr:uid="{00000000-0005-0000-0000-00001F0A0000}"/>
    <cellStyle name="Normal 4 15" xfId="4255" xr:uid="{00000000-0005-0000-0000-0000200A0000}"/>
    <cellStyle name="Normal 4 2" xfId="1337" xr:uid="{00000000-0005-0000-0000-0000210A0000}"/>
    <cellStyle name="Normal 4 2 2" xfId="2625" xr:uid="{00000000-0005-0000-0000-0000220A0000}"/>
    <cellStyle name="Normal 4 3" xfId="1336" xr:uid="{00000000-0005-0000-0000-0000230A0000}"/>
    <cellStyle name="Normal 4 4" xfId="4256" xr:uid="{00000000-0005-0000-0000-0000240A0000}"/>
    <cellStyle name="Normal 4 5" xfId="4257" xr:uid="{00000000-0005-0000-0000-0000250A0000}"/>
    <cellStyle name="Normal 4 6" xfId="4258" xr:uid="{00000000-0005-0000-0000-0000260A0000}"/>
    <cellStyle name="Normal 4 7" xfId="4259" xr:uid="{00000000-0005-0000-0000-0000270A0000}"/>
    <cellStyle name="Normal 4 8" xfId="4260" xr:uid="{00000000-0005-0000-0000-0000280A0000}"/>
    <cellStyle name="Normal 4 9" xfId="4261" xr:uid="{00000000-0005-0000-0000-0000290A0000}"/>
    <cellStyle name="Normal 5" xfId="5" xr:uid="{00000000-0005-0000-0000-00002A0A0000}"/>
    <cellStyle name="Normal 5 2" xfId="2077" xr:uid="{00000000-0005-0000-0000-00002B0A0000}"/>
    <cellStyle name="Normal 5 2 2" xfId="2078" xr:uid="{00000000-0005-0000-0000-00002C0A0000}"/>
    <cellStyle name="Normal 5 2 2 2" xfId="2079" xr:uid="{00000000-0005-0000-0000-00002D0A0000}"/>
    <cellStyle name="Normal 5 2 2 3" xfId="4262" xr:uid="{00000000-0005-0000-0000-00002E0A0000}"/>
    <cellStyle name="Normal 5 2 3" xfId="4263" xr:uid="{00000000-0005-0000-0000-00002F0A0000}"/>
    <cellStyle name="Normal 5 2 3 2" xfId="4264" xr:uid="{00000000-0005-0000-0000-0000300A0000}"/>
    <cellStyle name="Normal 5 3" xfId="4265" xr:uid="{00000000-0005-0000-0000-0000310A0000}"/>
    <cellStyle name="Normal 6" xfId="20" xr:uid="{00000000-0005-0000-0000-0000320A0000}"/>
    <cellStyle name="Normal 6 2" xfId="445" xr:uid="{00000000-0005-0000-0000-0000330A0000}"/>
    <cellStyle name="Normal 6 2 2" xfId="2627" xr:uid="{00000000-0005-0000-0000-0000340A0000}"/>
    <cellStyle name="Normal 6 2 3" xfId="4266" xr:uid="{00000000-0005-0000-0000-0000350A0000}"/>
    <cellStyle name="Normal 6 2 3 2" xfId="4267" xr:uid="{00000000-0005-0000-0000-0000360A0000}"/>
    <cellStyle name="Normal 6 2 4" xfId="4268" xr:uid="{00000000-0005-0000-0000-0000370A0000}"/>
    <cellStyle name="Normal 6 3" xfId="2626" xr:uid="{00000000-0005-0000-0000-0000380A0000}"/>
    <cellStyle name="Normal 6 3 2" xfId="4269" xr:uid="{00000000-0005-0000-0000-0000390A0000}"/>
    <cellStyle name="Normal 6 3 2 2" xfId="4270" xr:uid="{00000000-0005-0000-0000-00003A0A0000}"/>
    <cellStyle name="Normal 6 3 2 2 2" xfId="4271" xr:uid="{00000000-0005-0000-0000-00003B0A0000}"/>
    <cellStyle name="Normal 6 3 2 3" xfId="4272" xr:uid="{00000000-0005-0000-0000-00003C0A0000}"/>
    <cellStyle name="Normal 6 3 3" xfId="4273" xr:uid="{00000000-0005-0000-0000-00003D0A0000}"/>
    <cellStyle name="Normal 6 4" xfId="1338" xr:uid="{00000000-0005-0000-0000-00003E0A0000}"/>
    <cellStyle name="Normal 6 4 2" xfId="4274" xr:uid="{00000000-0005-0000-0000-00003F0A0000}"/>
    <cellStyle name="Normal 6 4 3" xfId="4275" xr:uid="{00000000-0005-0000-0000-0000400A0000}"/>
    <cellStyle name="Normal 6 5" xfId="4276" xr:uid="{00000000-0005-0000-0000-0000410A0000}"/>
    <cellStyle name="Normal 7" xfId="1339" xr:uid="{00000000-0005-0000-0000-0000420A0000}"/>
    <cellStyle name="Normal 7 2" xfId="1340" xr:uid="{00000000-0005-0000-0000-0000430A0000}"/>
    <cellStyle name="Normal 7 2 2" xfId="4277" xr:uid="{00000000-0005-0000-0000-0000440A0000}"/>
    <cellStyle name="Normal 7 3" xfId="4278" xr:uid="{00000000-0005-0000-0000-0000450A0000}"/>
    <cellStyle name="Normal 7 3 2" xfId="4279" xr:uid="{00000000-0005-0000-0000-0000460A0000}"/>
    <cellStyle name="Normal 7 3 2 2" xfId="4280" xr:uid="{00000000-0005-0000-0000-0000470A0000}"/>
    <cellStyle name="Normal 7 3 3" xfId="4281" xr:uid="{00000000-0005-0000-0000-0000480A0000}"/>
    <cellStyle name="Normal 8" xfId="1341" xr:uid="{00000000-0005-0000-0000-0000490A0000}"/>
    <cellStyle name="Normal 8 2" xfId="1342" xr:uid="{00000000-0005-0000-0000-00004A0A0000}"/>
    <cellStyle name="Normal 8 2 2" xfId="2628" xr:uid="{00000000-0005-0000-0000-00004B0A0000}"/>
    <cellStyle name="Normal 8 2 2 2" xfId="4282" xr:uid="{00000000-0005-0000-0000-00004C0A0000}"/>
    <cellStyle name="Normal 8 2 2 2 2" xfId="4283" xr:uid="{00000000-0005-0000-0000-00004D0A0000}"/>
    <cellStyle name="Normal 8 2 2 3" xfId="4284" xr:uid="{00000000-0005-0000-0000-00004E0A0000}"/>
    <cellStyle name="Normal 8 2 2 4" xfId="4285" xr:uid="{00000000-0005-0000-0000-00004F0A0000}"/>
    <cellStyle name="Normal 8 2 3" xfId="4286" xr:uid="{00000000-0005-0000-0000-0000500A0000}"/>
    <cellStyle name="Normal 8 3" xfId="4287" xr:uid="{00000000-0005-0000-0000-0000510A0000}"/>
    <cellStyle name="Normal 9" xfId="1343" xr:uid="{00000000-0005-0000-0000-0000520A0000}"/>
    <cellStyle name="Normal 9 2" xfId="4288" xr:uid="{00000000-0005-0000-0000-0000530A0000}"/>
    <cellStyle name="Normal 9 2 2" xfId="4289" xr:uid="{00000000-0005-0000-0000-0000540A0000}"/>
    <cellStyle name="Normal 9 3" xfId="4290" xr:uid="{00000000-0005-0000-0000-0000550A0000}"/>
    <cellStyle name="Normal GHG Numbers (0.00)" xfId="1344" xr:uid="{00000000-0005-0000-0000-0000560A0000}"/>
    <cellStyle name="Normal GHG Numbers (0.00) 2" xfId="4291" xr:uid="{00000000-0005-0000-0000-0000570A0000}"/>
    <cellStyle name="Normal GHG Numbers (0.00) 3" xfId="4292" xr:uid="{00000000-0005-0000-0000-0000580A0000}"/>
    <cellStyle name="Normal GHG Textfiels Bold" xfId="1345" xr:uid="{00000000-0005-0000-0000-0000590A0000}"/>
    <cellStyle name="Normal GHG-Shade" xfId="1346" xr:uid="{00000000-0005-0000-0000-00005A0A0000}"/>
    <cellStyle name="Normal GHG-Shade 2" xfId="2629" xr:uid="{00000000-0005-0000-0000-00005B0A0000}"/>
    <cellStyle name="Normale 10" xfId="208" xr:uid="{00000000-0005-0000-0000-00005C0A0000}"/>
    <cellStyle name="Normale 10 2" xfId="209" xr:uid="{00000000-0005-0000-0000-00005D0A0000}"/>
    <cellStyle name="Normale 10 2 2" xfId="2631" xr:uid="{00000000-0005-0000-0000-00005E0A0000}"/>
    <cellStyle name="Normale 10 3" xfId="210" xr:uid="{00000000-0005-0000-0000-00005F0A0000}"/>
    <cellStyle name="Normale 10 3 2" xfId="2632" xr:uid="{00000000-0005-0000-0000-0000600A0000}"/>
    <cellStyle name="Normale 10 4" xfId="2630" xr:uid="{00000000-0005-0000-0000-0000610A0000}"/>
    <cellStyle name="Normale 10_EDEN industria 2008 rev" xfId="211" xr:uid="{00000000-0005-0000-0000-0000620A0000}"/>
    <cellStyle name="Normale 11" xfId="212" xr:uid="{00000000-0005-0000-0000-0000630A0000}"/>
    <cellStyle name="Normale 11 2" xfId="213" xr:uid="{00000000-0005-0000-0000-0000640A0000}"/>
    <cellStyle name="Normale 11 2 2" xfId="2634" xr:uid="{00000000-0005-0000-0000-0000650A0000}"/>
    <cellStyle name="Normale 11 3" xfId="214" xr:uid="{00000000-0005-0000-0000-0000660A0000}"/>
    <cellStyle name="Normale 11 3 2" xfId="2635" xr:uid="{00000000-0005-0000-0000-0000670A0000}"/>
    <cellStyle name="Normale 11 4" xfId="2633" xr:uid="{00000000-0005-0000-0000-0000680A0000}"/>
    <cellStyle name="Normale 11_EDEN industria 2008 rev" xfId="215" xr:uid="{00000000-0005-0000-0000-0000690A0000}"/>
    <cellStyle name="Normale 12" xfId="216" xr:uid="{00000000-0005-0000-0000-00006A0A0000}"/>
    <cellStyle name="Normale 12 2" xfId="217" xr:uid="{00000000-0005-0000-0000-00006B0A0000}"/>
    <cellStyle name="Normale 12 2 2" xfId="2637" xr:uid="{00000000-0005-0000-0000-00006C0A0000}"/>
    <cellStyle name="Normale 12 3" xfId="218" xr:uid="{00000000-0005-0000-0000-00006D0A0000}"/>
    <cellStyle name="Normale 12 3 2" xfId="2638" xr:uid="{00000000-0005-0000-0000-00006E0A0000}"/>
    <cellStyle name="Normale 12 4" xfId="2636" xr:uid="{00000000-0005-0000-0000-00006F0A0000}"/>
    <cellStyle name="Normale 12_EDEN industria 2008 rev" xfId="219" xr:uid="{00000000-0005-0000-0000-0000700A0000}"/>
    <cellStyle name="Normale 13" xfId="220" xr:uid="{00000000-0005-0000-0000-0000710A0000}"/>
    <cellStyle name="Normale 13 2" xfId="221" xr:uid="{00000000-0005-0000-0000-0000720A0000}"/>
    <cellStyle name="Normale 13 2 2" xfId="2640" xr:uid="{00000000-0005-0000-0000-0000730A0000}"/>
    <cellStyle name="Normale 13 3" xfId="222" xr:uid="{00000000-0005-0000-0000-0000740A0000}"/>
    <cellStyle name="Normale 13 3 2" xfId="2641" xr:uid="{00000000-0005-0000-0000-0000750A0000}"/>
    <cellStyle name="Normale 13 4" xfId="2639" xr:uid="{00000000-0005-0000-0000-0000760A0000}"/>
    <cellStyle name="Normale 13_EDEN industria 2008 rev" xfId="223" xr:uid="{00000000-0005-0000-0000-0000770A0000}"/>
    <cellStyle name="Normale 14" xfId="224" xr:uid="{00000000-0005-0000-0000-0000780A0000}"/>
    <cellStyle name="Normale 14 2" xfId="225" xr:uid="{00000000-0005-0000-0000-0000790A0000}"/>
    <cellStyle name="Normale 14 2 2" xfId="2643" xr:uid="{00000000-0005-0000-0000-00007A0A0000}"/>
    <cellStyle name="Normale 14 3" xfId="226" xr:uid="{00000000-0005-0000-0000-00007B0A0000}"/>
    <cellStyle name="Normale 14 3 2" xfId="2644" xr:uid="{00000000-0005-0000-0000-00007C0A0000}"/>
    <cellStyle name="Normale 14 4" xfId="2642" xr:uid="{00000000-0005-0000-0000-00007D0A0000}"/>
    <cellStyle name="Normale 14_EDEN industria 2008 rev" xfId="227" xr:uid="{00000000-0005-0000-0000-00007E0A0000}"/>
    <cellStyle name="Normale 15" xfId="228" xr:uid="{00000000-0005-0000-0000-00007F0A0000}"/>
    <cellStyle name="Normale 15 2" xfId="229" xr:uid="{00000000-0005-0000-0000-0000800A0000}"/>
    <cellStyle name="Normale 15 2 2" xfId="2646" xr:uid="{00000000-0005-0000-0000-0000810A0000}"/>
    <cellStyle name="Normale 15 3" xfId="230" xr:uid="{00000000-0005-0000-0000-0000820A0000}"/>
    <cellStyle name="Normale 15 3 2" xfId="2647" xr:uid="{00000000-0005-0000-0000-0000830A0000}"/>
    <cellStyle name="Normale 15 4" xfId="2645" xr:uid="{00000000-0005-0000-0000-0000840A0000}"/>
    <cellStyle name="Normale 15_EDEN industria 2008 rev" xfId="231" xr:uid="{00000000-0005-0000-0000-0000850A0000}"/>
    <cellStyle name="Normale 16" xfId="232" xr:uid="{00000000-0005-0000-0000-0000860A0000}"/>
    <cellStyle name="Normale 16 2" xfId="2648" xr:uid="{00000000-0005-0000-0000-0000870A0000}"/>
    <cellStyle name="Normale 17" xfId="233" xr:uid="{00000000-0005-0000-0000-0000880A0000}"/>
    <cellStyle name="Normale 17 2" xfId="2649" xr:uid="{00000000-0005-0000-0000-0000890A0000}"/>
    <cellStyle name="Normale 18" xfId="234" xr:uid="{00000000-0005-0000-0000-00008A0A0000}"/>
    <cellStyle name="Normale 18 2" xfId="4293" xr:uid="{00000000-0005-0000-0000-00008B0A0000}"/>
    <cellStyle name="Normale 19" xfId="235" xr:uid="{00000000-0005-0000-0000-00008C0A0000}"/>
    <cellStyle name="Normale 19 2" xfId="4294" xr:uid="{00000000-0005-0000-0000-00008D0A0000}"/>
    <cellStyle name="Normale 2" xfId="236" xr:uid="{00000000-0005-0000-0000-00008E0A0000}"/>
    <cellStyle name="Normale 2 2" xfId="237" xr:uid="{00000000-0005-0000-0000-00008F0A0000}"/>
    <cellStyle name="Normale 2 2 2" xfId="2651" xr:uid="{00000000-0005-0000-0000-0000900A0000}"/>
    <cellStyle name="Normale 2 3" xfId="2650" xr:uid="{00000000-0005-0000-0000-0000910A0000}"/>
    <cellStyle name="Normale 2_EDEN industria 2008 rev" xfId="238" xr:uid="{00000000-0005-0000-0000-0000920A0000}"/>
    <cellStyle name="Normale 20" xfId="239" xr:uid="{00000000-0005-0000-0000-0000930A0000}"/>
    <cellStyle name="Normale 20 2" xfId="2652" xr:uid="{00000000-0005-0000-0000-0000940A0000}"/>
    <cellStyle name="Normale 21" xfId="240" xr:uid="{00000000-0005-0000-0000-0000950A0000}"/>
    <cellStyle name="Normale 21 2" xfId="2653" xr:uid="{00000000-0005-0000-0000-0000960A0000}"/>
    <cellStyle name="Normale 22" xfId="241" xr:uid="{00000000-0005-0000-0000-0000970A0000}"/>
    <cellStyle name="Normale 22 2" xfId="2654" xr:uid="{00000000-0005-0000-0000-0000980A0000}"/>
    <cellStyle name="Normale 23" xfId="242" xr:uid="{00000000-0005-0000-0000-0000990A0000}"/>
    <cellStyle name="Normale 23 2" xfId="2655" xr:uid="{00000000-0005-0000-0000-00009A0A0000}"/>
    <cellStyle name="Normale 24" xfId="243" xr:uid="{00000000-0005-0000-0000-00009B0A0000}"/>
    <cellStyle name="Normale 24 2" xfId="2656" xr:uid="{00000000-0005-0000-0000-00009C0A0000}"/>
    <cellStyle name="Normale 25" xfId="244" xr:uid="{00000000-0005-0000-0000-00009D0A0000}"/>
    <cellStyle name="Normale 25 2" xfId="2657" xr:uid="{00000000-0005-0000-0000-00009E0A0000}"/>
    <cellStyle name="Normale 26" xfId="245" xr:uid="{00000000-0005-0000-0000-00009F0A0000}"/>
    <cellStyle name="Normale 26 2" xfId="2658" xr:uid="{00000000-0005-0000-0000-0000A00A0000}"/>
    <cellStyle name="Normale 27" xfId="246" xr:uid="{00000000-0005-0000-0000-0000A10A0000}"/>
    <cellStyle name="Normale 27 2" xfId="2659" xr:uid="{00000000-0005-0000-0000-0000A20A0000}"/>
    <cellStyle name="Normale 28" xfId="247" xr:uid="{00000000-0005-0000-0000-0000A30A0000}"/>
    <cellStyle name="Normale 28 2" xfId="2660" xr:uid="{00000000-0005-0000-0000-0000A40A0000}"/>
    <cellStyle name="Normale 29" xfId="248" xr:uid="{00000000-0005-0000-0000-0000A50A0000}"/>
    <cellStyle name="Normale 29 2" xfId="2661" xr:uid="{00000000-0005-0000-0000-0000A60A0000}"/>
    <cellStyle name="Normale 3" xfId="249" xr:uid="{00000000-0005-0000-0000-0000A70A0000}"/>
    <cellStyle name="Normale 3 2" xfId="250" xr:uid="{00000000-0005-0000-0000-0000A80A0000}"/>
    <cellStyle name="Normale 3 2 2" xfId="2663" xr:uid="{00000000-0005-0000-0000-0000A90A0000}"/>
    <cellStyle name="Normale 3 3" xfId="251" xr:uid="{00000000-0005-0000-0000-0000AA0A0000}"/>
    <cellStyle name="Normale 3 3 2" xfId="2664" xr:uid="{00000000-0005-0000-0000-0000AB0A0000}"/>
    <cellStyle name="Normale 3 4" xfId="2662" xr:uid="{00000000-0005-0000-0000-0000AC0A0000}"/>
    <cellStyle name="Normale 3_EDEN industria 2008 rev" xfId="252" xr:uid="{00000000-0005-0000-0000-0000AD0A0000}"/>
    <cellStyle name="Normale 30" xfId="253" xr:uid="{00000000-0005-0000-0000-0000AE0A0000}"/>
    <cellStyle name="Normale 30 2" xfId="2665" xr:uid="{00000000-0005-0000-0000-0000AF0A0000}"/>
    <cellStyle name="Normale 31" xfId="254" xr:uid="{00000000-0005-0000-0000-0000B00A0000}"/>
    <cellStyle name="Normale 31 2" xfId="2666" xr:uid="{00000000-0005-0000-0000-0000B10A0000}"/>
    <cellStyle name="Normale 32" xfId="255" xr:uid="{00000000-0005-0000-0000-0000B20A0000}"/>
    <cellStyle name="Normale 32 2" xfId="2667" xr:uid="{00000000-0005-0000-0000-0000B30A0000}"/>
    <cellStyle name="Normale 33" xfId="256" xr:uid="{00000000-0005-0000-0000-0000B40A0000}"/>
    <cellStyle name="Normale 33 2" xfId="2668" xr:uid="{00000000-0005-0000-0000-0000B50A0000}"/>
    <cellStyle name="Normale 34" xfId="257" xr:uid="{00000000-0005-0000-0000-0000B60A0000}"/>
    <cellStyle name="Normale 34 2" xfId="2669" xr:uid="{00000000-0005-0000-0000-0000B70A0000}"/>
    <cellStyle name="Normale 35" xfId="258" xr:uid="{00000000-0005-0000-0000-0000B80A0000}"/>
    <cellStyle name="Normale 35 2" xfId="2670" xr:uid="{00000000-0005-0000-0000-0000B90A0000}"/>
    <cellStyle name="Normale 36" xfId="259" xr:uid="{00000000-0005-0000-0000-0000BA0A0000}"/>
    <cellStyle name="Normale 36 2" xfId="2671" xr:uid="{00000000-0005-0000-0000-0000BB0A0000}"/>
    <cellStyle name="Normale 37" xfId="260" xr:uid="{00000000-0005-0000-0000-0000BC0A0000}"/>
    <cellStyle name="Normale 37 2" xfId="2672" xr:uid="{00000000-0005-0000-0000-0000BD0A0000}"/>
    <cellStyle name="Normale 38" xfId="261" xr:uid="{00000000-0005-0000-0000-0000BE0A0000}"/>
    <cellStyle name="Normale 38 2" xfId="2673" xr:uid="{00000000-0005-0000-0000-0000BF0A0000}"/>
    <cellStyle name="Normale 39" xfId="262" xr:uid="{00000000-0005-0000-0000-0000C00A0000}"/>
    <cellStyle name="Normale 39 2" xfId="2674" xr:uid="{00000000-0005-0000-0000-0000C10A0000}"/>
    <cellStyle name="Normale 4" xfId="263" xr:uid="{00000000-0005-0000-0000-0000C20A0000}"/>
    <cellStyle name="Normale 4 2" xfId="264" xr:uid="{00000000-0005-0000-0000-0000C30A0000}"/>
    <cellStyle name="Normale 4 2 2" xfId="2676" xr:uid="{00000000-0005-0000-0000-0000C40A0000}"/>
    <cellStyle name="Normale 4 3" xfId="265" xr:uid="{00000000-0005-0000-0000-0000C50A0000}"/>
    <cellStyle name="Normale 4 3 2" xfId="2677" xr:uid="{00000000-0005-0000-0000-0000C60A0000}"/>
    <cellStyle name="Normale 4 4" xfId="2675" xr:uid="{00000000-0005-0000-0000-0000C70A0000}"/>
    <cellStyle name="Normale 4_EDEN industria 2008 rev" xfId="266" xr:uid="{00000000-0005-0000-0000-0000C80A0000}"/>
    <cellStyle name="Normale 40" xfId="267" xr:uid="{00000000-0005-0000-0000-0000C90A0000}"/>
    <cellStyle name="Normale 40 2" xfId="2678" xr:uid="{00000000-0005-0000-0000-0000CA0A0000}"/>
    <cellStyle name="Normale 41" xfId="268" xr:uid="{00000000-0005-0000-0000-0000CB0A0000}"/>
    <cellStyle name="Normale 41 2" xfId="2679" xr:uid="{00000000-0005-0000-0000-0000CC0A0000}"/>
    <cellStyle name="Normale 42" xfId="269" xr:uid="{00000000-0005-0000-0000-0000CD0A0000}"/>
    <cellStyle name="Normale 42 2" xfId="2680" xr:uid="{00000000-0005-0000-0000-0000CE0A0000}"/>
    <cellStyle name="Normale 43" xfId="270" xr:uid="{00000000-0005-0000-0000-0000CF0A0000}"/>
    <cellStyle name="Normale 43 2" xfId="2681" xr:uid="{00000000-0005-0000-0000-0000D00A0000}"/>
    <cellStyle name="Normale 44" xfId="271" xr:uid="{00000000-0005-0000-0000-0000D10A0000}"/>
    <cellStyle name="Normale 44 2" xfId="2682" xr:uid="{00000000-0005-0000-0000-0000D20A0000}"/>
    <cellStyle name="Normale 45" xfId="272" xr:uid="{00000000-0005-0000-0000-0000D30A0000}"/>
    <cellStyle name="Normale 45 2" xfId="2683" xr:uid="{00000000-0005-0000-0000-0000D40A0000}"/>
    <cellStyle name="Normale 46" xfId="273" xr:uid="{00000000-0005-0000-0000-0000D50A0000}"/>
    <cellStyle name="Normale 46 2" xfId="2684" xr:uid="{00000000-0005-0000-0000-0000D60A0000}"/>
    <cellStyle name="Normale 47" xfId="274" xr:uid="{00000000-0005-0000-0000-0000D70A0000}"/>
    <cellStyle name="Normale 47 2" xfId="2685" xr:uid="{00000000-0005-0000-0000-0000D80A0000}"/>
    <cellStyle name="Normale 48" xfId="275" xr:uid="{00000000-0005-0000-0000-0000D90A0000}"/>
    <cellStyle name="Normale 48 2" xfId="2686" xr:uid="{00000000-0005-0000-0000-0000DA0A0000}"/>
    <cellStyle name="Normale 49" xfId="276" xr:uid="{00000000-0005-0000-0000-0000DB0A0000}"/>
    <cellStyle name="Normale 49 2" xfId="2687" xr:uid="{00000000-0005-0000-0000-0000DC0A0000}"/>
    <cellStyle name="Normale 5" xfId="277" xr:uid="{00000000-0005-0000-0000-0000DD0A0000}"/>
    <cellStyle name="Normale 5 2" xfId="278" xr:uid="{00000000-0005-0000-0000-0000DE0A0000}"/>
    <cellStyle name="Normale 5 2 2" xfId="2689" xr:uid="{00000000-0005-0000-0000-0000DF0A0000}"/>
    <cellStyle name="Normale 5 3" xfId="279" xr:uid="{00000000-0005-0000-0000-0000E00A0000}"/>
    <cellStyle name="Normale 5 3 2" xfId="2690" xr:uid="{00000000-0005-0000-0000-0000E10A0000}"/>
    <cellStyle name="Normale 5 4" xfId="2688" xr:uid="{00000000-0005-0000-0000-0000E20A0000}"/>
    <cellStyle name="Normale 5_EDEN industria 2008 rev" xfId="280" xr:uid="{00000000-0005-0000-0000-0000E30A0000}"/>
    <cellStyle name="Normale 50" xfId="281" xr:uid="{00000000-0005-0000-0000-0000E40A0000}"/>
    <cellStyle name="Normale 50 2" xfId="2691" xr:uid="{00000000-0005-0000-0000-0000E50A0000}"/>
    <cellStyle name="Normale 51" xfId="282" xr:uid="{00000000-0005-0000-0000-0000E60A0000}"/>
    <cellStyle name="Normale 51 2" xfId="2692" xr:uid="{00000000-0005-0000-0000-0000E70A0000}"/>
    <cellStyle name="Normale 52" xfId="283" xr:uid="{00000000-0005-0000-0000-0000E80A0000}"/>
    <cellStyle name="Normale 52 2" xfId="2693" xr:uid="{00000000-0005-0000-0000-0000E90A0000}"/>
    <cellStyle name="Normale 53" xfId="284" xr:uid="{00000000-0005-0000-0000-0000EA0A0000}"/>
    <cellStyle name="Normale 53 2" xfId="2694" xr:uid="{00000000-0005-0000-0000-0000EB0A0000}"/>
    <cellStyle name="Normale 54" xfId="285" xr:uid="{00000000-0005-0000-0000-0000EC0A0000}"/>
    <cellStyle name="Normale 54 2" xfId="2695" xr:uid="{00000000-0005-0000-0000-0000ED0A0000}"/>
    <cellStyle name="Normale 55" xfId="286" xr:uid="{00000000-0005-0000-0000-0000EE0A0000}"/>
    <cellStyle name="Normale 55 2" xfId="2696" xr:uid="{00000000-0005-0000-0000-0000EF0A0000}"/>
    <cellStyle name="Normale 56" xfId="287" xr:uid="{00000000-0005-0000-0000-0000F00A0000}"/>
    <cellStyle name="Normale 56 2" xfId="2697" xr:uid="{00000000-0005-0000-0000-0000F10A0000}"/>
    <cellStyle name="Normale 57" xfId="288" xr:uid="{00000000-0005-0000-0000-0000F20A0000}"/>
    <cellStyle name="Normale 57 2" xfId="2698" xr:uid="{00000000-0005-0000-0000-0000F30A0000}"/>
    <cellStyle name="Normale 58" xfId="289" xr:uid="{00000000-0005-0000-0000-0000F40A0000}"/>
    <cellStyle name="Normale 58 2" xfId="2699" xr:uid="{00000000-0005-0000-0000-0000F50A0000}"/>
    <cellStyle name="Normale 59" xfId="290" xr:uid="{00000000-0005-0000-0000-0000F60A0000}"/>
    <cellStyle name="Normale 59 2" xfId="2700" xr:uid="{00000000-0005-0000-0000-0000F70A0000}"/>
    <cellStyle name="Normale 6" xfId="291" xr:uid="{00000000-0005-0000-0000-0000F80A0000}"/>
    <cellStyle name="Normale 6 2" xfId="292" xr:uid="{00000000-0005-0000-0000-0000F90A0000}"/>
    <cellStyle name="Normale 6 2 2" xfId="2702" xr:uid="{00000000-0005-0000-0000-0000FA0A0000}"/>
    <cellStyle name="Normale 6 3" xfId="293" xr:uid="{00000000-0005-0000-0000-0000FB0A0000}"/>
    <cellStyle name="Normale 6 3 2" xfId="2703" xr:uid="{00000000-0005-0000-0000-0000FC0A0000}"/>
    <cellStyle name="Normale 6 4" xfId="2701" xr:uid="{00000000-0005-0000-0000-0000FD0A0000}"/>
    <cellStyle name="Normale 6_EDEN industria 2008 rev" xfId="294" xr:uid="{00000000-0005-0000-0000-0000FE0A0000}"/>
    <cellStyle name="Normale 60" xfId="295" xr:uid="{00000000-0005-0000-0000-0000FF0A0000}"/>
    <cellStyle name="Normale 60 2" xfId="2704" xr:uid="{00000000-0005-0000-0000-0000000B0000}"/>
    <cellStyle name="Normale 61" xfId="296" xr:uid="{00000000-0005-0000-0000-0000010B0000}"/>
    <cellStyle name="Normale 61 2" xfId="2705" xr:uid="{00000000-0005-0000-0000-0000020B0000}"/>
    <cellStyle name="Normale 62" xfId="297" xr:uid="{00000000-0005-0000-0000-0000030B0000}"/>
    <cellStyle name="Normale 62 2" xfId="2706" xr:uid="{00000000-0005-0000-0000-0000040B0000}"/>
    <cellStyle name="Normale 63" xfId="298" xr:uid="{00000000-0005-0000-0000-0000050B0000}"/>
    <cellStyle name="Normale 63 2" xfId="2707" xr:uid="{00000000-0005-0000-0000-0000060B0000}"/>
    <cellStyle name="Normale 64" xfId="299" xr:uid="{00000000-0005-0000-0000-0000070B0000}"/>
    <cellStyle name="Normale 64 2" xfId="2708" xr:uid="{00000000-0005-0000-0000-0000080B0000}"/>
    <cellStyle name="Normale 65" xfId="300" xr:uid="{00000000-0005-0000-0000-0000090B0000}"/>
    <cellStyle name="Normale 65 2" xfId="2709" xr:uid="{00000000-0005-0000-0000-00000A0B0000}"/>
    <cellStyle name="Normale 7" xfId="301" xr:uid="{00000000-0005-0000-0000-00000B0B0000}"/>
    <cellStyle name="Normale 7 2" xfId="302" xr:uid="{00000000-0005-0000-0000-00000C0B0000}"/>
    <cellStyle name="Normale 7 2 2" xfId="2711" xr:uid="{00000000-0005-0000-0000-00000D0B0000}"/>
    <cellStyle name="Normale 7 3" xfId="303" xr:uid="{00000000-0005-0000-0000-00000E0B0000}"/>
    <cellStyle name="Normale 7 3 2" xfId="2712" xr:uid="{00000000-0005-0000-0000-00000F0B0000}"/>
    <cellStyle name="Normale 7 4" xfId="2710" xr:uid="{00000000-0005-0000-0000-0000100B0000}"/>
    <cellStyle name="Normale 7_EDEN industria 2008 rev" xfId="304" xr:uid="{00000000-0005-0000-0000-0000110B0000}"/>
    <cellStyle name="Normale 8" xfId="305" xr:uid="{00000000-0005-0000-0000-0000120B0000}"/>
    <cellStyle name="Normale 8 2" xfId="306" xr:uid="{00000000-0005-0000-0000-0000130B0000}"/>
    <cellStyle name="Normale 8 2 2" xfId="2714" xr:uid="{00000000-0005-0000-0000-0000140B0000}"/>
    <cellStyle name="Normale 8 3" xfId="307" xr:uid="{00000000-0005-0000-0000-0000150B0000}"/>
    <cellStyle name="Normale 8 3 2" xfId="2715" xr:uid="{00000000-0005-0000-0000-0000160B0000}"/>
    <cellStyle name="Normale 8 4" xfId="2713" xr:uid="{00000000-0005-0000-0000-0000170B0000}"/>
    <cellStyle name="Normale 8_EDEN industria 2008 rev" xfId="308" xr:uid="{00000000-0005-0000-0000-0000180B0000}"/>
    <cellStyle name="Normale 9" xfId="309" xr:uid="{00000000-0005-0000-0000-0000190B0000}"/>
    <cellStyle name="Normale 9 2" xfId="310" xr:uid="{00000000-0005-0000-0000-00001A0B0000}"/>
    <cellStyle name="Normale 9 2 2" xfId="2717" xr:uid="{00000000-0005-0000-0000-00001B0B0000}"/>
    <cellStyle name="Normale 9 3" xfId="311" xr:uid="{00000000-0005-0000-0000-00001C0B0000}"/>
    <cellStyle name="Normale 9 3 2" xfId="2718" xr:uid="{00000000-0005-0000-0000-00001D0B0000}"/>
    <cellStyle name="Normale 9 4" xfId="2716" xr:uid="{00000000-0005-0000-0000-00001E0B0000}"/>
    <cellStyle name="Normale 9_EDEN industria 2008 rev" xfId="312" xr:uid="{00000000-0005-0000-0000-00001F0B0000}"/>
    <cellStyle name="Normale_B2020" xfId="1347" xr:uid="{00000000-0005-0000-0000-0000200B0000}"/>
    <cellStyle name="Nota" xfId="313" xr:uid="{00000000-0005-0000-0000-0000210B0000}"/>
    <cellStyle name="Nota 2" xfId="549" xr:uid="{00000000-0005-0000-0000-0000220B0000}"/>
    <cellStyle name="Nota 2 2" xfId="2719" xr:uid="{00000000-0005-0000-0000-0000230B0000}"/>
    <cellStyle name="Nota 3" xfId="1348" xr:uid="{00000000-0005-0000-0000-0000240B0000}"/>
    <cellStyle name="Nota 3 2" xfId="1349" xr:uid="{00000000-0005-0000-0000-0000250B0000}"/>
    <cellStyle name="Nota 3 2 2" xfId="4295" xr:uid="{00000000-0005-0000-0000-0000260B0000}"/>
    <cellStyle name="Nota 3 2 2 2" xfId="4296" xr:uid="{00000000-0005-0000-0000-0000270B0000}"/>
    <cellStyle name="Nota 3 2 3" xfId="4297" xr:uid="{00000000-0005-0000-0000-0000280B0000}"/>
    <cellStyle name="Nota 3 3" xfId="1350" xr:uid="{00000000-0005-0000-0000-0000290B0000}"/>
    <cellStyle name="Nota 3 3 2" xfId="2721" xr:uid="{00000000-0005-0000-0000-00002A0B0000}"/>
    <cellStyle name="Nota 3 4" xfId="2720" xr:uid="{00000000-0005-0000-0000-00002B0B0000}"/>
    <cellStyle name="Nota 4" xfId="1351" xr:uid="{00000000-0005-0000-0000-00002C0B0000}"/>
    <cellStyle name="Nota 4 2" xfId="1352" xr:uid="{00000000-0005-0000-0000-00002D0B0000}"/>
    <cellStyle name="Nota 4 2 2" xfId="2723" xr:uid="{00000000-0005-0000-0000-00002E0B0000}"/>
    <cellStyle name="Nota 4 3" xfId="2722" xr:uid="{00000000-0005-0000-0000-00002F0B0000}"/>
    <cellStyle name="Nota 5" xfId="1353" xr:uid="{00000000-0005-0000-0000-0000300B0000}"/>
    <cellStyle name="Nota 5 2" xfId="4298" xr:uid="{00000000-0005-0000-0000-0000310B0000}"/>
    <cellStyle name="Nota 6" xfId="4299" xr:uid="{00000000-0005-0000-0000-0000320B0000}"/>
    <cellStyle name="Note 2" xfId="4300" xr:uid="{00000000-0005-0000-0000-0000330B0000}"/>
    <cellStyle name="Note 2 2" xfId="4301" xr:uid="{00000000-0005-0000-0000-0000340B0000}"/>
    <cellStyle name="Note 2 2 2" xfId="4302" xr:uid="{00000000-0005-0000-0000-0000350B0000}"/>
    <cellStyle name="Note 2 3" xfId="4303" xr:uid="{00000000-0005-0000-0000-0000360B0000}"/>
    <cellStyle name="Nuovo" xfId="314" xr:uid="{00000000-0005-0000-0000-0000370B0000}"/>
    <cellStyle name="Nuovo 10" xfId="315" xr:uid="{00000000-0005-0000-0000-0000380B0000}"/>
    <cellStyle name="Nuovo 10 2" xfId="551" xr:uid="{00000000-0005-0000-0000-0000390B0000}"/>
    <cellStyle name="Nuovo 10 2 2" xfId="2724" xr:uid="{00000000-0005-0000-0000-00003A0B0000}"/>
    <cellStyle name="Nuovo 10 3" xfId="1354" xr:uid="{00000000-0005-0000-0000-00003B0B0000}"/>
    <cellStyle name="Nuovo 10 3 2" xfId="1355" xr:uid="{00000000-0005-0000-0000-00003C0B0000}"/>
    <cellStyle name="Nuovo 10 3 2 2" xfId="4304" xr:uid="{00000000-0005-0000-0000-00003D0B0000}"/>
    <cellStyle name="Nuovo 10 3 3" xfId="1356" xr:uid="{00000000-0005-0000-0000-00003E0B0000}"/>
    <cellStyle name="Nuovo 10 3 3 2" xfId="2726" xr:uid="{00000000-0005-0000-0000-00003F0B0000}"/>
    <cellStyle name="Nuovo 10 3 4" xfId="2725" xr:uid="{00000000-0005-0000-0000-0000400B0000}"/>
    <cellStyle name="Nuovo 10 4" xfId="1357" xr:uid="{00000000-0005-0000-0000-0000410B0000}"/>
    <cellStyle name="Nuovo 10 4 2" xfId="1358" xr:uid="{00000000-0005-0000-0000-0000420B0000}"/>
    <cellStyle name="Nuovo 10 4 2 2" xfId="2728" xr:uid="{00000000-0005-0000-0000-0000430B0000}"/>
    <cellStyle name="Nuovo 10 4 3" xfId="2727" xr:uid="{00000000-0005-0000-0000-0000440B0000}"/>
    <cellStyle name="Nuovo 10 5" xfId="1359" xr:uid="{00000000-0005-0000-0000-0000450B0000}"/>
    <cellStyle name="Nuovo 11" xfId="316" xr:uid="{00000000-0005-0000-0000-0000460B0000}"/>
    <cellStyle name="Nuovo 11 2" xfId="552" xr:uid="{00000000-0005-0000-0000-0000470B0000}"/>
    <cellStyle name="Nuovo 11 2 2" xfId="2729" xr:uid="{00000000-0005-0000-0000-0000480B0000}"/>
    <cellStyle name="Nuovo 11 3" xfId="1360" xr:uid="{00000000-0005-0000-0000-0000490B0000}"/>
    <cellStyle name="Nuovo 11 3 2" xfId="1361" xr:uid="{00000000-0005-0000-0000-00004A0B0000}"/>
    <cellStyle name="Nuovo 11 3 2 2" xfId="4305" xr:uid="{00000000-0005-0000-0000-00004B0B0000}"/>
    <cellStyle name="Nuovo 11 3 3" xfId="1362" xr:uid="{00000000-0005-0000-0000-00004C0B0000}"/>
    <cellStyle name="Nuovo 11 3 3 2" xfId="2731" xr:uid="{00000000-0005-0000-0000-00004D0B0000}"/>
    <cellStyle name="Nuovo 11 3 4" xfId="2730" xr:uid="{00000000-0005-0000-0000-00004E0B0000}"/>
    <cellStyle name="Nuovo 11 4" xfId="1363" xr:uid="{00000000-0005-0000-0000-00004F0B0000}"/>
    <cellStyle name="Nuovo 11 4 2" xfId="1364" xr:uid="{00000000-0005-0000-0000-0000500B0000}"/>
    <cellStyle name="Nuovo 11 4 2 2" xfId="2733" xr:uid="{00000000-0005-0000-0000-0000510B0000}"/>
    <cellStyle name="Nuovo 11 4 3" xfId="2732" xr:uid="{00000000-0005-0000-0000-0000520B0000}"/>
    <cellStyle name="Nuovo 11 5" xfId="1365" xr:uid="{00000000-0005-0000-0000-0000530B0000}"/>
    <cellStyle name="Nuovo 12" xfId="317" xr:uid="{00000000-0005-0000-0000-0000540B0000}"/>
    <cellStyle name="Nuovo 12 2" xfId="553" xr:uid="{00000000-0005-0000-0000-0000550B0000}"/>
    <cellStyle name="Nuovo 12 2 2" xfId="2734" xr:uid="{00000000-0005-0000-0000-0000560B0000}"/>
    <cellStyle name="Nuovo 12 3" xfId="1366" xr:uid="{00000000-0005-0000-0000-0000570B0000}"/>
    <cellStyle name="Nuovo 12 3 2" xfId="1367" xr:uid="{00000000-0005-0000-0000-0000580B0000}"/>
    <cellStyle name="Nuovo 12 3 2 2" xfId="4306" xr:uid="{00000000-0005-0000-0000-0000590B0000}"/>
    <cellStyle name="Nuovo 12 3 3" xfId="1368" xr:uid="{00000000-0005-0000-0000-00005A0B0000}"/>
    <cellStyle name="Nuovo 12 3 3 2" xfId="2736" xr:uid="{00000000-0005-0000-0000-00005B0B0000}"/>
    <cellStyle name="Nuovo 12 3 4" xfId="2735" xr:uid="{00000000-0005-0000-0000-00005C0B0000}"/>
    <cellStyle name="Nuovo 12 4" xfId="1369" xr:uid="{00000000-0005-0000-0000-00005D0B0000}"/>
    <cellStyle name="Nuovo 12 4 2" xfId="1370" xr:uid="{00000000-0005-0000-0000-00005E0B0000}"/>
    <cellStyle name="Nuovo 12 4 2 2" xfId="2738" xr:uid="{00000000-0005-0000-0000-00005F0B0000}"/>
    <cellStyle name="Nuovo 12 4 3" xfId="2737" xr:uid="{00000000-0005-0000-0000-0000600B0000}"/>
    <cellStyle name="Nuovo 12 5" xfId="1371" xr:uid="{00000000-0005-0000-0000-0000610B0000}"/>
    <cellStyle name="Nuovo 13" xfId="318" xr:uid="{00000000-0005-0000-0000-0000620B0000}"/>
    <cellStyle name="Nuovo 13 2" xfId="554" xr:uid="{00000000-0005-0000-0000-0000630B0000}"/>
    <cellStyle name="Nuovo 13 2 2" xfId="2739" xr:uid="{00000000-0005-0000-0000-0000640B0000}"/>
    <cellStyle name="Nuovo 13 3" xfId="1372" xr:uid="{00000000-0005-0000-0000-0000650B0000}"/>
    <cellStyle name="Nuovo 13 3 2" xfId="1373" xr:uid="{00000000-0005-0000-0000-0000660B0000}"/>
    <cellStyle name="Nuovo 13 3 2 2" xfId="4307" xr:uid="{00000000-0005-0000-0000-0000670B0000}"/>
    <cellStyle name="Nuovo 13 3 3" xfId="1374" xr:uid="{00000000-0005-0000-0000-0000680B0000}"/>
    <cellStyle name="Nuovo 13 3 3 2" xfId="2741" xr:uid="{00000000-0005-0000-0000-0000690B0000}"/>
    <cellStyle name="Nuovo 13 3 4" xfId="2740" xr:uid="{00000000-0005-0000-0000-00006A0B0000}"/>
    <cellStyle name="Nuovo 13 4" xfId="1375" xr:uid="{00000000-0005-0000-0000-00006B0B0000}"/>
    <cellStyle name="Nuovo 13 4 2" xfId="1376" xr:uid="{00000000-0005-0000-0000-00006C0B0000}"/>
    <cellStyle name="Nuovo 13 4 2 2" xfId="2743" xr:uid="{00000000-0005-0000-0000-00006D0B0000}"/>
    <cellStyle name="Nuovo 13 4 3" xfId="2742" xr:uid="{00000000-0005-0000-0000-00006E0B0000}"/>
    <cellStyle name="Nuovo 13 5" xfId="1377" xr:uid="{00000000-0005-0000-0000-00006F0B0000}"/>
    <cellStyle name="Nuovo 14" xfId="319" xr:uid="{00000000-0005-0000-0000-0000700B0000}"/>
    <cellStyle name="Nuovo 14 2" xfId="555" xr:uid="{00000000-0005-0000-0000-0000710B0000}"/>
    <cellStyle name="Nuovo 14 2 2" xfId="2744" xr:uid="{00000000-0005-0000-0000-0000720B0000}"/>
    <cellStyle name="Nuovo 14 3" xfId="1378" xr:uid="{00000000-0005-0000-0000-0000730B0000}"/>
    <cellStyle name="Nuovo 14 3 2" xfId="1379" xr:uid="{00000000-0005-0000-0000-0000740B0000}"/>
    <cellStyle name="Nuovo 14 3 2 2" xfId="4308" xr:uid="{00000000-0005-0000-0000-0000750B0000}"/>
    <cellStyle name="Nuovo 14 3 3" xfId="1380" xr:uid="{00000000-0005-0000-0000-0000760B0000}"/>
    <cellStyle name="Nuovo 14 3 3 2" xfId="2746" xr:uid="{00000000-0005-0000-0000-0000770B0000}"/>
    <cellStyle name="Nuovo 14 3 4" xfId="2745" xr:uid="{00000000-0005-0000-0000-0000780B0000}"/>
    <cellStyle name="Nuovo 14 4" xfId="1381" xr:uid="{00000000-0005-0000-0000-0000790B0000}"/>
    <cellStyle name="Nuovo 14 4 2" xfId="1382" xr:uid="{00000000-0005-0000-0000-00007A0B0000}"/>
    <cellStyle name="Nuovo 14 4 2 2" xfId="2748" xr:uid="{00000000-0005-0000-0000-00007B0B0000}"/>
    <cellStyle name="Nuovo 14 4 3" xfId="2747" xr:uid="{00000000-0005-0000-0000-00007C0B0000}"/>
    <cellStyle name="Nuovo 14 5" xfId="1383" xr:uid="{00000000-0005-0000-0000-00007D0B0000}"/>
    <cellStyle name="Nuovo 15" xfId="320" xr:uid="{00000000-0005-0000-0000-00007E0B0000}"/>
    <cellStyle name="Nuovo 15 2" xfId="556" xr:uid="{00000000-0005-0000-0000-00007F0B0000}"/>
    <cellStyle name="Nuovo 15 2 2" xfId="2749" xr:uid="{00000000-0005-0000-0000-0000800B0000}"/>
    <cellStyle name="Nuovo 15 3" xfId="1384" xr:uid="{00000000-0005-0000-0000-0000810B0000}"/>
    <cellStyle name="Nuovo 15 3 2" xfId="1385" xr:uid="{00000000-0005-0000-0000-0000820B0000}"/>
    <cellStyle name="Nuovo 15 3 2 2" xfId="4309" xr:uid="{00000000-0005-0000-0000-0000830B0000}"/>
    <cellStyle name="Nuovo 15 3 3" xfId="1386" xr:uid="{00000000-0005-0000-0000-0000840B0000}"/>
    <cellStyle name="Nuovo 15 3 3 2" xfId="2751" xr:uid="{00000000-0005-0000-0000-0000850B0000}"/>
    <cellStyle name="Nuovo 15 3 4" xfId="2750" xr:uid="{00000000-0005-0000-0000-0000860B0000}"/>
    <cellStyle name="Nuovo 15 4" xfId="1387" xr:uid="{00000000-0005-0000-0000-0000870B0000}"/>
    <cellStyle name="Nuovo 15 4 2" xfId="1388" xr:uid="{00000000-0005-0000-0000-0000880B0000}"/>
    <cellStyle name="Nuovo 15 4 2 2" xfId="2753" xr:uid="{00000000-0005-0000-0000-0000890B0000}"/>
    <cellStyle name="Nuovo 15 4 3" xfId="2752" xr:uid="{00000000-0005-0000-0000-00008A0B0000}"/>
    <cellStyle name="Nuovo 15 5" xfId="1389" xr:uid="{00000000-0005-0000-0000-00008B0B0000}"/>
    <cellStyle name="Nuovo 16" xfId="321" xr:uid="{00000000-0005-0000-0000-00008C0B0000}"/>
    <cellStyle name="Nuovo 16 2" xfId="557" xr:uid="{00000000-0005-0000-0000-00008D0B0000}"/>
    <cellStyle name="Nuovo 16 2 2" xfId="2754" xr:uid="{00000000-0005-0000-0000-00008E0B0000}"/>
    <cellStyle name="Nuovo 16 3" xfId="1390" xr:uid="{00000000-0005-0000-0000-00008F0B0000}"/>
    <cellStyle name="Nuovo 16 3 2" xfId="1391" xr:uid="{00000000-0005-0000-0000-0000900B0000}"/>
    <cellStyle name="Nuovo 16 3 2 2" xfId="4310" xr:uid="{00000000-0005-0000-0000-0000910B0000}"/>
    <cellStyle name="Nuovo 16 3 3" xfId="1392" xr:uid="{00000000-0005-0000-0000-0000920B0000}"/>
    <cellStyle name="Nuovo 16 3 3 2" xfId="2756" xr:uid="{00000000-0005-0000-0000-0000930B0000}"/>
    <cellStyle name="Nuovo 16 3 4" xfId="2755" xr:uid="{00000000-0005-0000-0000-0000940B0000}"/>
    <cellStyle name="Nuovo 16 4" xfId="1393" xr:uid="{00000000-0005-0000-0000-0000950B0000}"/>
    <cellStyle name="Nuovo 16 4 2" xfId="1394" xr:uid="{00000000-0005-0000-0000-0000960B0000}"/>
    <cellStyle name="Nuovo 16 4 2 2" xfId="2758" xr:uid="{00000000-0005-0000-0000-0000970B0000}"/>
    <cellStyle name="Nuovo 16 4 3" xfId="2757" xr:uid="{00000000-0005-0000-0000-0000980B0000}"/>
    <cellStyle name="Nuovo 16 5" xfId="1395" xr:uid="{00000000-0005-0000-0000-0000990B0000}"/>
    <cellStyle name="Nuovo 17" xfId="322" xr:uid="{00000000-0005-0000-0000-00009A0B0000}"/>
    <cellStyle name="Nuovo 17 2" xfId="558" xr:uid="{00000000-0005-0000-0000-00009B0B0000}"/>
    <cellStyle name="Nuovo 17 2 2" xfId="2759" xr:uid="{00000000-0005-0000-0000-00009C0B0000}"/>
    <cellStyle name="Nuovo 17 3" xfId="1396" xr:uid="{00000000-0005-0000-0000-00009D0B0000}"/>
    <cellStyle name="Nuovo 17 3 2" xfId="1397" xr:uid="{00000000-0005-0000-0000-00009E0B0000}"/>
    <cellStyle name="Nuovo 17 3 2 2" xfId="4311" xr:uid="{00000000-0005-0000-0000-00009F0B0000}"/>
    <cellStyle name="Nuovo 17 3 3" xfId="1398" xr:uid="{00000000-0005-0000-0000-0000A00B0000}"/>
    <cellStyle name="Nuovo 17 3 3 2" xfId="2761" xr:uid="{00000000-0005-0000-0000-0000A10B0000}"/>
    <cellStyle name="Nuovo 17 3 4" xfId="2760" xr:uid="{00000000-0005-0000-0000-0000A20B0000}"/>
    <cellStyle name="Nuovo 17 4" xfId="1399" xr:uid="{00000000-0005-0000-0000-0000A30B0000}"/>
    <cellStyle name="Nuovo 17 4 2" xfId="1400" xr:uid="{00000000-0005-0000-0000-0000A40B0000}"/>
    <cellStyle name="Nuovo 17 4 2 2" xfId="2763" xr:uid="{00000000-0005-0000-0000-0000A50B0000}"/>
    <cellStyle name="Nuovo 17 4 3" xfId="2762" xr:uid="{00000000-0005-0000-0000-0000A60B0000}"/>
    <cellStyle name="Nuovo 17 5" xfId="1401" xr:uid="{00000000-0005-0000-0000-0000A70B0000}"/>
    <cellStyle name="Nuovo 18" xfId="323" xr:uid="{00000000-0005-0000-0000-0000A80B0000}"/>
    <cellStyle name="Nuovo 18 2" xfId="559" xr:uid="{00000000-0005-0000-0000-0000A90B0000}"/>
    <cellStyle name="Nuovo 18 2 2" xfId="2764" xr:uid="{00000000-0005-0000-0000-0000AA0B0000}"/>
    <cellStyle name="Nuovo 18 3" xfId="1402" xr:uid="{00000000-0005-0000-0000-0000AB0B0000}"/>
    <cellStyle name="Nuovo 18 3 2" xfId="1403" xr:uid="{00000000-0005-0000-0000-0000AC0B0000}"/>
    <cellStyle name="Nuovo 18 3 2 2" xfId="4312" xr:uid="{00000000-0005-0000-0000-0000AD0B0000}"/>
    <cellStyle name="Nuovo 18 3 3" xfId="1404" xr:uid="{00000000-0005-0000-0000-0000AE0B0000}"/>
    <cellStyle name="Nuovo 18 3 3 2" xfId="2766" xr:uid="{00000000-0005-0000-0000-0000AF0B0000}"/>
    <cellStyle name="Nuovo 18 3 4" xfId="2765" xr:uid="{00000000-0005-0000-0000-0000B00B0000}"/>
    <cellStyle name="Nuovo 18 4" xfId="1405" xr:uid="{00000000-0005-0000-0000-0000B10B0000}"/>
    <cellStyle name="Nuovo 18 4 2" xfId="1406" xr:uid="{00000000-0005-0000-0000-0000B20B0000}"/>
    <cellStyle name="Nuovo 18 4 2 2" xfId="2768" xr:uid="{00000000-0005-0000-0000-0000B30B0000}"/>
    <cellStyle name="Nuovo 18 4 3" xfId="2767" xr:uid="{00000000-0005-0000-0000-0000B40B0000}"/>
    <cellStyle name="Nuovo 18 5" xfId="1407" xr:uid="{00000000-0005-0000-0000-0000B50B0000}"/>
    <cellStyle name="Nuovo 19" xfId="324" xr:uid="{00000000-0005-0000-0000-0000B60B0000}"/>
    <cellStyle name="Nuovo 19 2" xfId="560" xr:uid="{00000000-0005-0000-0000-0000B70B0000}"/>
    <cellStyle name="Nuovo 19 2 2" xfId="2769" xr:uid="{00000000-0005-0000-0000-0000B80B0000}"/>
    <cellStyle name="Nuovo 19 3" xfId="1408" xr:uid="{00000000-0005-0000-0000-0000B90B0000}"/>
    <cellStyle name="Nuovo 19 3 2" xfId="1409" xr:uid="{00000000-0005-0000-0000-0000BA0B0000}"/>
    <cellStyle name="Nuovo 19 3 2 2" xfId="4313" xr:uid="{00000000-0005-0000-0000-0000BB0B0000}"/>
    <cellStyle name="Nuovo 19 3 3" xfId="1410" xr:uid="{00000000-0005-0000-0000-0000BC0B0000}"/>
    <cellStyle name="Nuovo 19 3 3 2" xfId="2771" xr:uid="{00000000-0005-0000-0000-0000BD0B0000}"/>
    <cellStyle name="Nuovo 19 3 4" xfId="2770" xr:uid="{00000000-0005-0000-0000-0000BE0B0000}"/>
    <cellStyle name="Nuovo 19 4" xfId="1411" xr:uid="{00000000-0005-0000-0000-0000BF0B0000}"/>
    <cellStyle name="Nuovo 19 4 2" xfId="1412" xr:uid="{00000000-0005-0000-0000-0000C00B0000}"/>
    <cellStyle name="Nuovo 19 4 2 2" xfId="2773" xr:uid="{00000000-0005-0000-0000-0000C10B0000}"/>
    <cellStyle name="Nuovo 19 4 3" xfId="2772" xr:uid="{00000000-0005-0000-0000-0000C20B0000}"/>
    <cellStyle name="Nuovo 19 5" xfId="1413" xr:uid="{00000000-0005-0000-0000-0000C30B0000}"/>
    <cellStyle name="Nuovo 2" xfId="325" xr:uid="{00000000-0005-0000-0000-0000C40B0000}"/>
    <cellStyle name="Nuovo 2 2" xfId="561" xr:uid="{00000000-0005-0000-0000-0000C50B0000}"/>
    <cellStyle name="Nuovo 2 2 2" xfId="2774" xr:uid="{00000000-0005-0000-0000-0000C60B0000}"/>
    <cellStyle name="Nuovo 2 3" xfId="1414" xr:uid="{00000000-0005-0000-0000-0000C70B0000}"/>
    <cellStyle name="Nuovo 2 3 2" xfId="1415" xr:uid="{00000000-0005-0000-0000-0000C80B0000}"/>
    <cellStyle name="Nuovo 2 3 2 2" xfId="4314" xr:uid="{00000000-0005-0000-0000-0000C90B0000}"/>
    <cellStyle name="Nuovo 2 3 3" xfId="1416" xr:uid="{00000000-0005-0000-0000-0000CA0B0000}"/>
    <cellStyle name="Nuovo 2 3 3 2" xfId="2776" xr:uid="{00000000-0005-0000-0000-0000CB0B0000}"/>
    <cellStyle name="Nuovo 2 3 4" xfId="2775" xr:uid="{00000000-0005-0000-0000-0000CC0B0000}"/>
    <cellStyle name="Nuovo 2 4" xfId="1417" xr:uid="{00000000-0005-0000-0000-0000CD0B0000}"/>
    <cellStyle name="Nuovo 2 4 2" xfId="1418" xr:uid="{00000000-0005-0000-0000-0000CE0B0000}"/>
    <cellStyle name="Nuovo 2 4 2 2" xfId="2778" xr:uid="{00000000-0005-0000-0000-0000CF0B0000}"/>
    <cellStyle name="Nuovo 2 4 3" xfId="2777" xr:uid="{00000000-0005-0000-0000-0000D00B0000}"/>
    <cellStyle name="Nuovo 2 5" xfId="1419" xr:uid="{00000000-0005-0000-0000-0000D10B0000}"/>
    <cellStyle name="Nuovo 20" xfId="326" xr:uid="{00000000-0005-0000-0000-0000D20B0000}"/>
    <cellStyle name="Nuovo 20 2" xfId="562" xr:uid="{00000000-0005-0000-0000-0000D30B0000}"/>
    <cellStyle name="Nuovo 20 2 2" xfId="2779" xr:uid="{00000000-0005-0000-0000-0000D40B0000}"/>
    <cellStyle name="Nuovo 20 3" xfId="1420" xr:uid="{00000000-0005-0000-0000-0000D50B0000}"/>
    <cellStyle name="Nuovo 20 3 2" xfId="1421" xr:uid="{00000000-0005-0000-0000-0000D60B0000}"/>
    <cellStyle name="Nuovo 20 3 2 2" xfId="4315" xr:uid="{00000000-0005-0000-0000-0000D70B0000}"/>
    <cellStyle name="Nuovo 20 3 3" xfId="1422" xr:uid="{00000000-0005-0000-0000-0000D80B0000}"/>
    <cellStyle name="Nuovo 20 3 3 2" xfId="2781" xr:uid="{00000000-0005-0000-0000-0000D90B0000}"/>
    <cellStyle name="Nuovo 20 3 4" xfId="2780" xr:uid="{00000000-0005-0000-0000-0000DA0B0000}"/>
    <cellStyle name="Nuovo 20 4" xfId="1423" xr:uid="{00000000-0005-0000-0000-0000DB0B0000}"/>
    <cellStyle name="Nuovo 20 4 2" xfId="1424" xr:uid="{00000000-0005-0000-0000-0000DC0B0000}"/>
    <cellStyle name="Nuovo 20 4 2 2" xfId="2783" xr:uid="{00000000-0005-0000-0000-0000DD0B0000}"/>
    <cellStyle name="Nuovo 20 4 3" xfId="2782" xr:uid="{00000000-0005-0000-0000-0000DE0B0000}"/>
    <cellStyle name="Nuovo 20 5" xfId="1425" xr:uid="{00000000-0005-0000-0000-0000DF0B0000}"/>
    <cellStyle name="Nuovo 21" xfId="327" xr:uid="{00000000-0005-0000-0000-0000E00B0000}"/>
    <cellStyle name="Nuovo 21 2" xfId="563" xr:uid="{00000000-0005-0000-0000-0000E10B0000}"/>
    <cellStyle name="Nuovo 21 2 2" xfId="2784" xr:uid="{00000000-0005-0000-0000-0000E20B0000}"/>
    <cellStyle name="Nuovo 21 3" xfId="1426" xr:uid="{00000000-0005-0000-0000-0000E30B0000}"/>
    <cellStyle name="Nuovo 21 3 2" xfId="1427" xr:uid="{00000000-0005-0000-0000-0000E40B0000}"/>
    <cellStyle name="Nuovo 21 3 2 2" xfId="4316" xr:uid="{00000000-0005-0000-0000-0000E50B0000}"/>
    <cellStyle name="Nuovo 21 3 3" xfId="1428" xr:uid="{00000000-0005-0000-0000-0000E60B0000}"/>
    <cellStyle name="Nuovo 21 3 3 2" xfId="2786" xr:uid="{00000000-0005-0000-0000-0000E70B0000}"/>
    <cellStyle name="Nuovo 21 3 4" xfId="2785" xr:uid="{00000000-0005-0000-0000-0000E80B0000}"/>
    <cellStyle name="Nuovo 21 4" xfId="1429" xr:uid="{00000000-0005-0000-0000-0000E90B0000}"/>
    <cellStyle name="Nuovo 21 4 2" xfId="1430" xr:uid="{00000000-0005-0000-0000-0000EA0B0000}"/>
    <cellStyle name="Nuovo 21 4 2 2" xfId="2788" xr:uid="{00000000-0005-0000-0000-0000EB0B0000}"/>
    <cellStyle name="Nuovo 21 4 3" xfId="2787" xr:uid="{00000000-0005-0000-0000-0000EC0B0000}"/>
    <cellStyle name="Nuovo 21 5" xfId="1431" xr:uid="{00000000-0005-0000-0000-0000ED0B0000}"/>
    <cellStyle name="Nuovo 22" xfId="328" xr:uid="{00000000-0005-0000-0000-0000EE0B0000}"/>
    <cellStyle name="Nuovo 22 2" xfId="564" xr:uid="{00000000-0005-0000-0000-0000EF0B0000}"/>
    <cellStyle name="Nuovo 22 2 2" xfId="2789" xr:uid="{00000000-0005-0000-0000-0000F00B0000}"/>
    <cellStyle name="Nuovo 22 3" xfId="1432" xr:uid="{00000000-0005-0000-0000-0000F10B0000}"/>
    <cellStyle name="Nuovo 22 3 2" xfId="1433" xr:uid="{00000000-0005-0000-0000-0000F20B0000}"/>
    <cellStyle name="Nuovo 22 3 2 2" xfId="4317" xr:uid="{00000000-0005-0000-0000-0000F30B0000}"/>
    <cellStyle name="Nuovo 22 3 3" xfId="1434" xr:uid="{00000000-0005-0000-0000-0000F40B0000}"/>
    <cellStyle name="Nuovo 22 3 3 2" xfId="2791" xr:uid="{00000000-0005-0000-0000-0000F50B0000}"/>
    <cellStyle name="Nuovo 22 3 4" xfId="2790" xr:uid="{00000000-0005-0000-0000-0000F60B0000}"/>
    <cellStyle name="Nuovo 22 4" xfId="1435" xr:uid="{00000000-0005-0000-0000-0000F70B0000}"/>
    <cellStyle name="Nuovo 22 4 2" xfId="1436" xr:uid="{00000000-0005-0000-0000-0000F80B0000}"/>
    <cellStyle name="Nuovo 22 4 2 2" xfId="2793" xr:uid="{00000000-0005-0000-0000-0000F90B0000}"/>
    <cellStyle name="Nuovo 22 4 3" xfId="2792" xr:uid="{00000000-0005-0000-0000-0000FA0B0000}"/>
    <cellStyle name="Nuovo 22 5" xfId="1437" xr:uid="{00000000-0005-0000-0000-0000FB0B0000}"/>
    <cellStyle name="Nuovo 23" xfId="329" xr:uid="{00000000-0005-0000-0000-0000FC0B0000}"/>
    <cellStyle name="Nuovo 23 2" xfId="565" xr:uid="{00000000-0005-0000-0000-0000FD0B0000}"/>
    <cellStyle name="Nuovo 23 2 2" xfId="2794" xr:uid="{00000000-0005-0000-0000-0000FE0B0000}"/>
    <cellStyle name="Nuovo 23 3" xfId="1438" xr:uid="{00000000-0005-0000-0000-0000FF0B0000}"/>
    <cellStyle name="Nuovo 23 3 2" xfId="1439" xr:uid="{00000000-0005-0000-0000-0000000C0000}"/>
    <cellStyle name="Nuovo 23 3 2 2" xfId="4318" xr:uid="{00000000-0005-0000-0000-0000010C0000}"/>
    <cellStyle name="Nuovo 23 3 3" xfId="1440" xr:uid="{00000000-0005-0000-0000-0000020C0000}"/>
    <cellStyle name="Nuovo 23 3 3 2" xfId="2796" xr:uid="{00000000-0005-0000-0000-0000030C0000}"/>
    <cellStyle name="Nuovo 23 3 4" xfId="2795" xr:uid="{00000000-0005-0000-0000-0000040C0000}"/>
    <cellStyle name="Nuovo 23 4" xfId="1441" xr:uid="{00000000-0005-0000-0000-0000050C0000}"/>
    <cellStyle name="Nuovo 23 4 2" xfId="1442" xr:uid="{00000000-0005-0000-0000-0000060C0000}"/>
    <cellStyle name="Nuovo 23 4 2 2" xfId="2798" xr:uid="{00000000-0005-0000-0000-0000070C0000}"/>
    <cellStyle name="Nuovo 23 4 3" xfId="2797" xr:uid="{00000000-0005-0000-0000-0000080C0000}"/>
    <cellStyle name="Nuovo 23 5" xfId="1443" xr:uid="{00000000-0005-0000-0000-0000090C0000}"/>
    <cellStyle name="Nuovo 24" xfId="330" xr:uid="{00000000-0005-0000-0000-00000A0C0000}"/>
    <cellStyle name="Nuovo 24 2" xfId="566" xr:uid="{00000000-0005-0000-0000-00000B0C0000}"/>
    <cellStyle name="Nuovo 24 2 2" xfId="2799" xr:uid="{00000000-0005-0000-0000-00000C0C0000}"/>
    <cellStyle name="Nuovo 24 3" xfId="1444" xr:uid="{00000000-0005-0000-0000-00000D0C0000}"/>
    <cellStyle name="Nuovo 24 3 2" xfId="1445" xr:uid="{00000000-0005-0000-0000-00000E0C0000}"/>
    <cellStyle name="Nuovo 24 3 2 2" xfId="4319" xr:uid="{00000000-0005-0000-0000-00000F0C0000}"/>
    <cellStyle name="Nuovo 24 3 3" xfId="1446" xr:uid="{00000000-0005-0000-0000-0000100C0000}"/>
    <cellStyle name="Nuovo 24 3 3 2" xfId="2801" xr:uid="{00000000-0005-0000-0000-0000110C0000}"/>
    <cellStyle name="Nuovo 24 3 4" xfId="2800" xr:uid="{00000000-0005-0000-0000-0000120C0000}"/>
    <cellStyle name="Nuovo 24 4" xfId="1447" xr:uid="{00000000-0005-0000-0000-0000130C0000}"/>
    <cellStyle name="Nuovo 24 4 2" xfId="1448" xr:uid="{00000000-0005-0000-0000-0000140C0000}"/>
    <cellStyle name="Nuovo 24 4 2 2" xfId="2803" xr:uid="{00000000-0005-0000-0000-0000150C0000}"/>
    <cellStyle name="Nuovo 24 4 3" xfId="2802" xr:uid="{00000000-0005-0000-0000-0000160C0000}"/>
    <cellStyle name="Nuovo 24 5" xfId="1449" xr:uid="{00000000-0005-0000-0000-0000170C0000}"/>
    <cellStyle name="Nuovo 25" xfId="331" xr:uid="{00000000-0005-0000-0000-0000180C0000}"/>
    <cellStyle name="Nuovo 25 2" xfId="567" xr:uid="{00000000-0005-0000-0000-0000190C0000}"/>
    <cellStyle name="Nuovo 25 2 2" xfId="2804" xr:uid="{00000000-0005-0000-0000-00001A0C0000}"/>
    <cellStyle name="Nuovo 25 3" xfId="1450" xr:uid="{00000000-0005-0000-0000-00001B0C0000}"/>
    <cellStyle name="Nuovo 25 3 2" xfId="1451" xr:uid="{00000000-0005-0000-0000-00001C0C0000}"/>
    <cellStyle name="Nuovo 25 3 2 2" xfId="4320" xr:uid="{00000000-0005-0000-0000-00001D0C0000}"/>
    <cellStyle name="Nuovo 25 3 3" xfId="1452" xr:uid="{00000000-0005-0000-0000-00001E0C0000}"/>
    <cellStyle name="Nuovo 25 3 3 2" xfId="2806" xr:uid="{00000000-0005-0000-0000-00001F0C0000}"/>
    <cellStyle name="Nuovo 25 3 4" xfId="2805" xr:uid="{00000000-0005-0000-0000-0000200C0000}"/>
    <cellStyle name="Nuovo 25 4" xfId="1453" xr:uid="{00000000-0005-0000-0000-0000210C0000}"/>
    <cellStyle name="Nuovo 25 4 2" xfId="1454" xr:uid="{00000000-0005-0000-0000-0000220C0000}"/>
    <cellStyle name="Nuovo 25 4 2 2" xfId="2808" xr:uid="{00000000-0005-0000-0000-0000230C0000}"/>
    <cellStyle name="Nuovo 25 4 3" xfId="2807" xr:uid="{00000000-0005-0000-0000-0000240C0000}"/>
    <cellStyle name="Nuovo 25 5" xfId="1455" xr:uid="{00000000-0005-0000-0000-0000250C0000}"/>
    <cellStyle name="Nuovo 26" xfId="332" xr:uid="{00000000-0005-0000-0000-0000260C0000}"/>
    <cellStyle name="Nuovo 26 2" xfId="568" xr:uid="{00000000-0005-0000-0000-0000270C0000}"/>
    <cellStyle name="Nuovo 26 2 2" xfId="2809" xr:uid="{00000000-0005-0000-0000-0000280C0000}"/>
    <cellStyle name="Nuovo 26 3" xfId="1456" xr:uid="{00000000-0005-0000-0000-0000290C0000}"/>
    <cellStyle name="Nuovo 26 3 2" xfId="1457" xr:uid="{00000000-0005-0000-0000-00002A0C0000}"/>
    <cellStyle name="Nuovo 26 3 2 2" xfId="4321" xr:uid="{00000000-0005-0000-0000-00002B0C0000}"/>
    <cellStyle name="Nuovo 26 3 3" xfId="1458" xr:uid="{00000000-0005-0000-0000-00002C0C0000}"/>
    <cellStyle name="Nuovo 26 3 3 2" xfId="2811" xr:uid="{00000000-0005-0000-0000-00002D0C0000}"/>
    <cellStyle name="Nuovo 26 3 4" xfId="2810" xr:uid="{00000000-0005-0000-0000-00002E0C0000}"/>
    <cellStyle name="Nuovo 26 4" xfId="1459" xr:uid="{00000000-0005-0000-0000-00002F0C0000}"/>
    <cellStyle name="Nuovo 26 4 2" xfId="1460" xr:uid="{00000000-0005-0000-0000-0000300C0000}"/>
    <cellStyle name="Nuovo 26 4 2 2" xfId="2813" xr:uid="{00000000-0005-0000-0000-0000310C0000}"/>
    <cellStyle name="Nuovo 26 4 3" xfId="2812" xr:uid="{00000000-0005-0000-0000-0000320C0000}"/>
    <cellStyle name="Nuovo 26 5" xfId="1461" xr:uid="{00000000-0005-0000-0000-0000330C0000}"/>
    <cellStyle name="Nuovo 27" xfId="333" xr:uid="{00000000-0005-0000-0000-0000340C0000}"/>
    <cellStyle name="Nuovo 27 2" xfId="569" xr:uid="{00000000-0005-0000-0000-0000350C0000}"/>
    <cellStyle name="Nuovo 27 2 2" xfId="2814" xr:uid="{00000000-0005-0000-0000-0000360C0000}"/>
    <cellStyle name="Nuovo 27 3" xfId="1462" xr:uid="{00000000-0005-0000-0000-0000370C0000}"/>
    <cellStyle name="Nuovo 27 3 2" xfId="1463" xr:uid="{00000000-0005-0000-0000-0000380C0000}"/>
    <cellStyle name="Nuovo 27 3 2 2" xfId="4322" xr:uid="{00000000-0005-0000-0000-0000390C0000}"/>
    <cellStyle name="Nuovo 27 3 3" xfId="1464" xr:uid="{00000000-0005-0000-0000-00003A0C0000}"/>
    <cellStyle name="Nuovo 27 3 3 2" xfId="2816" xr:uid="{00000000-0005-0000-0000-00003B0C0000}"/>
    <cellStyle name="Nuovo 27 3 4" xfId="2815" xr:uid="{00000000-0005-0000-0000-00003C0C0000}"/>
    <cellStyle name="Nuovo 27 4" xfId="1465" xr:uid="{00000000-0005-0000-0000-00003D0C0000}"/>
    <cellStyle name="Nuovo 27 4 2" xfId="1466" xr:uid="{00000000-0005-0000-0000-00003E0C0000}"/>
    <cellStyle name="Nuovo 27 4 2 2" xfId="2818" xr:uid="{00000000-0005-0000-0000-00003F0C0000}"/>
    <cellStyle name="Nuovo 27 4 3" xfId="2817" xr:uid="{00000000-0005-0000-0000-0000400C0000}"/>
    <cellStyle name="Nuovo 27 5" xfId="1467" xr:uid="{00000000-0005-0000-0000-0000410C0000}"/>
    <cellStyle name="Nuovo 28" xfId="334" xr:uid="{00000000-0005-0000-0000-0000420C0000}"/>
    <cellStyle name="Nuovo 28 2" xfId="570" xr:uid="{00000000-0005-0000-0000-0000430C0000}"/>
    <cellStyle name="Nuovo 28 2 2" xfId="2819" xr:uid="{00000000-0005-0000-0000-0000440C0000}"/>
    <cellStyle name="Nuovo 28 3" xfId="1468" xr:uid="{00000000-0005-0000-0000-0000450C0000}"/>
    <cellStyle name="Nuovo 28 3 2" xfId="1469" xr:uid="{00000000-0005-0000-0000-0000460C0000}"/>
    <cellStyle name="Nuovo 28 3 2 2" xfId="4323" xr:uid="{00000000-0005-0000-0000-0000470C0000}"/>
    <cellStyle name="Nuovo 28 3 3" xfId="1470" xr:uid="{00000000-0005-0000-0000-0000480C0000}"/>
    <cellStyle name="Nuovo 28 3 3 2" xfId="2821" xr:uid="{00000000-0005-0000-0000-0000490C0000}"/>
    <cellStyle name="Nuovo 28 3 4" xfId="2820" xr:uid="{00000000-0005-0000-0000-00004A0C0000}"/>
    <cellStyle name="Nuovo 28 4" xfId="1471" xr:uid="{00000000-0005-0000-0000-00004B0C0000}"/>
    <cellStyle name="Nuovo 28 4 2" xfId="1472" xr:uid="{00000000-0005-0000-0000-00004C0C0000}"/>
    <cellStyle name="Nuovo 28 4 2 2" xfId="2823" xr:uid="{00000000-0005-0000-0000-00004D0C0000}"/>
    <cellStyle name="Nuovo 28 4 3" xfId="2822" xr:uid="{00000000-0005-0000-0000-00004E0C0000}"/>
    <cellStyle name="Nuovo 28 5" xfId="1473" xr:uid="{00000000-0005-0000-0000-00004F0C0000}"/>
    <cellStyle name="Nuovo 29" xfId="335" xr:uid="{00000000-0005-0000-0000-0000500C0000}"/>
    <cellStyle name="Nuovo 29 2" xfId="571" xr:uid="{00000000-0005-0000-0000-0000510C0000}"/>
    <cellStyle name="Nuovo 29 2 2" xfId="2824" xr:uid="{00000000-0005-0000-0000-0000520C0000}"/>
    <cellStyle name="Nuovo 29 3" xfId="1474" xr:uid="{00000000-0005-0000-0000-0000530C0000}"/>
    <cellStyle name="Nuovo 29 3 2" xfId="1475" xr:uid="{00000000-0005-0000-0000-0000540C0000}"/>
    <cellStyle name="Nuovo 29 3 2 2" xfId="4324" xr:uid="{00000000-0005-0000-0000-0000550C0000}"/>
    <cellStyle name="Nuovo 29 3 3" xfId="1476" xr:uid="{00000000-0005-0000-0000-0000560C0000}"/>
    <cellStyle name="Nuovo 29 3 3 2" xfId="2826" xr:uid="{00000000-0005-0000-0000-0000570C0000}"/>
    <cellStyle name="Nuovo 29 3 4" xfId="2825" xr:uid="{00000000-0005-0000-0000-0000580C0000}"/>
    <cellStyle name="Nuovo 29 4" xfId="1477" xr:uid="{00000000-0005-0000-0000-0000590C0000}"/>
    <cellStyle name="Nuovo 29 4 2" xfId="1478" xr:uid="{00000000-0005-0000-0000-00005A0C0000}"/>
    <cellStyle name="Nuovo 29 4 2 2" xfId="2828" xr:uid="{00000000-0005-0000-0000-00005B0C0000}"/>
    <cellStyle name="Nuovo 29 4 3" xfId="2827" xr:uid="{00000000-0005-0000-0000-00005C0C0000}"/>
    <cellStyle name="Nuovo 29 5" xfId="1479" xr:uid="{00000000-0005-0000-0000-00005D0C0000}"/>
    <cellStyle name="Nuovo 3" xfId="336" xr:uid="{00000000-0005-0000-0000-00005E0C0000}"/>
    <cellStyle name="Nuovo 3 2" xfId="572" xr:uid="{00000000-0005-0000-0000-00005F0C0000}"/>
    <cellStyle name="Nuovo 3 2 2" xfId="2829" xr:uid="{00000000-0005-0000-0000-0000600C0000}"/>
    <cellStyle name="Nuovo 3 3" xfId="1480" xr:uid="{00000000-0005-0000-0000-0000610C0000}"/>
    <cellStyle name="Nuovo 3 3 2" xfId="1481" xr:uid="{00000000-0005-0000-0000-0000620C0000}"/>
    <cellStyle name="Nuovo 3 3 2 2" xfId="4325" xr:uid="{00000000-0005-0000-0000-0000630C0000}"/>
    <cellStyle name="Nuovo 3 3 3" xfId="1482" xr:uid="{00000000-0005-0000-0000-0000640C0000}"/>
    <cellStyle name="Nuovo 3 3 3 2" xfId="2831" xr:uid="{00000000-0005-0000-0000-0000650C0000}"/>
    <cellStyle name="Nuovo 3 3 4" xfId="2830" xr:uid="{00000000-0005-0000-0000-0000660C0000}"/>
    <cellStyle name="Nuovo 3 4" xfId="1483" xr:uid="{00000000-0005-0000-0000-0000670C0000}"/>
    <cellStyle name="Nuovo 3 4 2" xfId="1484" xr:uid="{00000000-0005-0000-0000-0000680C0000}"/>
    <cellStyle name="Nuovo 3 4 2 2" xfId="2833" xr:uid="{00000000-0005-0000-0000-0000690C0000}"/>
    <cellStyle name="Nuovo 3 4 3" xfId="2832" xr:uid="{00000000-0005-0000-0000-00006A0C0000}"/>
    <cellStyle name="Nuovo 3 5" xfId="1485" xr:uid="{00000000-0005-0000-0000-00006B0C0000}"/>
    <cellStyle name="Nuovo 30" xfId="337" xr:uid="{00000000-0005-0000-0000-00006C0C0000}"/>
    <cellStyle name="Nuovo 30 2" xfId="573" xr:uid="{00000000-0005-0000-0000-00006D0C0000}"/>
    <cellStyle name="Nuovo 30 2 2" xfId="2834" xr:uid="{00000000-0005-0000-0000-00006E0C0000}"/>
    <cellStyle name="Nuovo 30 3" xfId="1486" xr:uid="{00000000-0005-0000-0000-00006F0C0000}"/>
    <cellStyle name="Nuovo 30 3 2" xfId="1487" xr:uid="{00000000-0005-0000-0000-0000700C0000}"/>
    <cellStyle name="Nuovo 30 3 2 2" xfId="4326" xr:uid="{00000000-0005-0000-0000-0000710C0000}"/>
    <cellStyle name="Nuovo 30 3 3" xfId="1488" xr:uid="{00000000-0005-0000-0000-0000720C0000}"/>
    <cellStyle name="Nuovo 30 3 3 2" xfId="2836" xr:uid="{00000000-0005-0000-0000-0000730C0000}"/>
    <cellStyle name="Nuovo 30 3 4" xfId="2835" xr:uid="{00000000-0005-0000-0000-0000740C0000}"/>
    <cellStyle name="Nuovo 30 4" xfId="1489" xr:uid="{00000000-0005-0000-0000-0000750C0000}"/>
    <cellStyle name="Nuovo 30 4 2" xfId="1490" xr:uid="{00000000-0005-0000-0000-0000760C0000}"/>
    <cellStyle name="Nuovo 30 4 2 2" xfId="2838" xr:uid="{00000000-0005-0000-0000-0000770C0000}"/>
    <cellStyle name="Nuovo 30 4 3" xfId="2837" xr:uid="{00000000-0005-0000-0000-0000780C0000}"/>
    <cellStyle name="Nuovo 30 5" xfId="1491" xr:uid="{00000000-0005-0000-0000-0000790C0000}"/>
    <cellStyle name="Nuovo 31" xfId="338" xr:uid="{00000000-0005-0000-0000-00007A0C0000}"/>
    <cellStyle name="Nuovo 31 2" xfId="574" xr:uid="{00000000-0005-0000-0000-00007B0C0000}"/>
    <cellStyle name="Nuovo 31 2 2" xfId="2839" xr:uid="{00000000-0005-0000-0000-00007C0C0000}"/>
    <cellStyle name="Nuovo 31 3" xfId="1492" xr:uid="{00000000-0005-0000-0000-00007D0C0000}"/>
    <cellStyle name="Nuovo 31 3 2" xfId="1493" xr:uid="{00000000-0005-0000-0000-00007E0C0000}"/>
    <cellStyle name="Nuovo 31 3 2 2" xfId="4327" xr:uid="{00000000-0005-0000-0000-00007F0C0000}"/>
    <cellStyle name="Nuovo 31 3 3" xfId="1494" xr:uid="{00000000-0005-0000-0000-0000800C0000}"/>
    <cellStyle name="Nuovo 31 3 3 2" xfId="2841" xr:uid="{00000000-0005-0000-0000-0000810C0000}"/>
    <cellStyle name="Nuovo 31 3 4" xfId="2840" xr:uid="{00000000-0005-0000-0000-0000820C0000}"/>
    <cellStyle name="Nuovo 31 4" xfId="1495" xr:uid="{00000000-0005-0000-0000-0000830C0000}"/>
    <cellStyle name="Nuovo 31 4 2" xfId="1496" xr:uid="{00000000-0005-0000-0000-0000840C0000}"/>
    <cellStyle name="Nuovo 31 4 2 2" xfId="2843" xr:uid="{00000000-0005-0000-0000-0000850C0000}"/>
    <cellStyle name="Nuovo 31 4 3" xfId="2842" xr:uid="{00000000-0005-0000-0000-0000860C0000}"/>
    <cellStyle name="Nuovo 31 5" xfId="1497" xr:uid="{00000000-0005-0000-0000-0000870C0000}"/>
    <cellStyle name="Nuovo 32" xfId="339" xr:uid="{00000000-0005-0000-0000-0000880C0000}"/>
    <cellStyle name="Nuovo 32 2" xfId="575" xr:uid="{00000000-0005-0000-0000-0000890C0000}"/>
    <cellStyle name="Nuovo 32 2 2" xfId="2844" xr:uid="{00000000-0005-0000-0000-00008A0C0000}"/>
    <cellStyle name="Nuovo 32 3" xfId="1498" xr:uid="{00000000-0005-0000-0000-00008B0C0000}"/>
    <cellStyle name="Nuovo 32 3 2" xfId="1499" xr:uid="{00000000-0005-0000-0000-00008C0C0000}"/>
    <cellStyle name="Nuovo 32 3 2 2" xfId="4328" xr:uid="{00000000-0005-0000-0000-00008D0C0000}"/>
    <cellStyle name="Nuovo 32 3 3" xfId="1500" xr:uid="{00000000-0005-0000-0000-00008E0C0000}"/>
    <cellStyle name="Nuovo 32 3 3 2" xfId="2846" xr:uid="{00000000-0005-0000-0000-00008F0C0000}"/>
    <cellStyle name="Nuovo 32 3 4" xfId="2845" xr:uid="{00000000-0005-0000-0000-0000900C0000}"/>
    <cellStyle name="Nuovo 32 4" xfId="1501" xr:uid="{00000000-0005-0000-0000-0000910C0000}"/>
    <cellStyle name="Nuovo 32 4 2" xfId="1502" xr:uid="{00000000-0005-0000-0000-0000920C0000}"/>
    <cellStyle name="Nuovo 32 4 2 2" xfId="2848" xr:uid="{00000000-0005-0000-0000-0000930C0000}"/>
    <cellStyle name="Nuovo 32 4 3" xfId="2847" xr:uid="{00000000-0005-0000-0000-0000940C0000}"/>
    <cellStyle name="Nuovo 32 5" xfId="1503" xr:uid="{00000000-0005-0000-0000-0000950C0000}"/>
    <cellStyle name="Nuovo 33" xfId="340" xr:uid="{00000000-0005-0000-0000-0000960C0000}"/>
    <cellStyle name="Nuovo 33 2" xfId="576" xr:uid="{00000000-0005-0000-0000-0000970C0000}"/>
    <cellStyle name="Nuovo 33 2 2" xfId="2849" xr:uid="{00000000-0005-0000-0000-0000980C0000}"/>
    <cellStyle name="Nuovo 33 3" xfId="1504" xr:uid="{00000000-0005-0000-0000-0000990C0000}"/>
    <cellStyle name="Nuovo 33 3 2" xfId="1505" xr:uid="{00000000-0005-0000-0000-00009A0C0000}"/>
    <cellStyle name="Nuovo 33 3 2 2" xfId="4329" xr:uid="{00000000-0005-0000-0000-00009B0C0000}"/>
    <cellStyle name="Nuovo 33 3 3" xfId="1506" xr:uid="{00000000-0005-0000-0000-00009C0C0000}"/>
    <cellStyle name="Nuovo 33 3 3 2" xfId="2851" xr:uid="{00000000-0005-0000-0000-00009D0C0000}"/>
    <cellStyle name="Nuovo 33 3 4" xfId="2850" xr:uid="{00000000-0005-0000-0000-00009E0C0000}"/>
    <cellStyle name="Nuovo 33 4" xfId="1507" xr:uid="{00000000-0005-0000-0000-00009F0C0000}"/>
    <cellStyle name="Nuovo 33 4 2" xfId="1508" xr:uid="{00000000-0005-0000-0000-0000A00C0000}"/>
    <cellStyle name="Nuovo 33 4 2 2" xfId="2853" xr:uid="{00000000-0005-0000-0000-0000A10C0000}"/>
    <cellStyle name="Nuovo 33 4 3" xfId="2852" xr:uid="{00000000-0005-0000-0000-0000A20C0000}"/>
    <cellStyle name="Nuovo 33 5" xfId="1509" xr:uid="{00000000-0005-0000-0000-0000A30C0000}"/>
    <cellStyle name="Nuovo 34" xfId="341" xr:uid="{00000000-0005-0000-0000-0000A40C0000}"/>
    <cellStyle name="Nuovo 34 2" xfId="577" xr:uid="{00000000-0005-0000-0000-0000A50C0000}"/>
    <cellStyle name="Nuovo 34 2 2" xfId="2854" xr:uid="{00000000-0005-0000-0000-0000A60C0000}"/>
    <cellStyle name="Nuovo 34 3" xfId="1510" xr:uid="{00000000-0005-0000-0000-0000A70C0000}"/>
    <cellStyle name="Nuovo 34 3 2" xfId="1511" xr:uid="{00000000-0005-0000-0000-0000A80C0000}"/>
    <cellStyle name="Nuovo 34 3 2 2" xfId="4330" xr:uid="{00000000-0005-0000-0000-0000A90C0000}"/>
    <cellStyle name="Nuovo 34 3 3" xfId="1512" xr:uid="{00000000-0005-0000-0000-0000AA0C0000}"/>
    <cellStyle name="Nuovo 34 3 3 2" xfId="2856" xr:uid="{00000000-0005-0000-0000-0000AB0C0000}"/>
    <cellStyle name="Nuovo 34 3 4" xfId="2855" xr:uid="{00000000-0005-0000-0000-0000AC0C0000}"/>
    <cellStyle name="Nuovo 34 4" xfId="1513" xr:uid="{00000000-0005-0000-0000-0000AD0C0000}"/>
    <cellStyle name="Nuovo 34 4 2" xfId="1514" xr:uid="{00000000-0005-0000-0000-0000AE0C0000}"/>
    <cellStyle name="Nuovo 34 4 2 2" xfId="2858" xr:uid="{00000000-0005-0000-0000-0000AF0C0000}"/>
    <cellStyle name="Nuovo 34 4 3" xfId="2857" xr:uid="{00000000-0005-0000-0000-0000B00C0000}"/>
    <cellStyle name="Nuovo 34 5" xfId="1515" xr:uid="{00000000-0005-0000-0000-0000B10C0000}"/>
    <cellStyle name="Nuovo 35" xfId="342" xr:uid="{00000000-0005-0000-0000-0000B20C0000}"/>
    <cellStyle name="Nuovo 35 2" xfId="578" xr:uid="{00000000-0005-0000-0000-0000B30C0000}"/>
    <cellStyle name="Nuovo 35 2 2" xfId="2859" xr:uid="{00000000-0005-0000-0000-0000B40C0000}"/>
    <cellStyle name="Nuovo 35 3" xfId="1516" xr:uid="{00000000-0005-0000-0000-0000B50C0000}"/>
    <cellStyle name="Nuovo 35 3 2" xfId="1517" xr:uid="{00000000-0005-0000-0000-0000B60C0000}"/>
    <cellStyle name="Nuovo 35 3 2 2" xfId="4331" xr:uid="{00000000-0005-0000-0000-0000B70C0000}"/>
    <cellStyle name="Nuovo 35 3 3" xfId="1518" xr:uid="{00000000-0005-0000-0000-0000B80C0000}"/>
    <cellStyle name="Nuovo 35 3 3 2" xfId="2861" xr:uid="{00000000-0005-0000-0000-0000B90C0000}"/>
    <cellStyle name="Nuovo 35 3 4" xfId="2860" xr:uid="{00000000-0005-0000-0000-0000BA0C0000}"/>
    <cellStyle name="Nuovo 35 4" xfId="1519" xr:uid="{00000000-0005-0000-0000-0000BB0C0000}"/>
    <cellStyle name="Nuovo 35 4 2" xfId="1520" xr:uid="{00000000-0005-0000-0000-0000BC0C0000}"/>
    <cellStyle name="Nuovo 35 4 2 2" xfId="2863" xr:uid="{00000000-0005-0000-0000-0000BD0C0000}"/>
    <cellStyle name="Nuovo 35 4 3" xfId="2862" xr:uid="{00000000-0005-0000-0000-0000BE0C0000}"/>
    <cellStyle name="Nuovo 35 5" xfId="1521" xr:uid="{00000000-0005-0000-0000-0000BF0C0000}"/>
    <cellStyle name="Nuovo 36" xfId="343" xr:uid="{00000000-0005-0000-0000-0000C00C0000}"/>
    <cellStyle name="Nuovo 36 2" xfId="579" xr:uid="{00000000-0005-0000-0000-0000C10C0000}"/>
    <cellStyle name="Nuovo 36 2 2" xfId="2864" xr:uid="{00000000-0005-0000-0000-0000C20C0000}"/>
    <cellStyle name="Nuovo 36 3" xfId="1522" xr:uid="{00000000-0005-0000-0000-0000C30C0000}"/>
    <cellStyle name="Nuovo 36 3 2" xfId="1523" xr:uid="{00000000-0005-0000-0000-0000C40C0000}"/>
    <cellStyle name="Nuovo 36 3 2 2" xfId="4332" xr:uid="{00000000-0005-0000-0000-0000C50C0000}"/>
    <cellStyle name="Nuovo 36 3 3" xfId="1524" xr:uid="{00000000-0005-0000-0000-0000C60C0000}"/>
    <cellStyle name="Nuovo 36 3 3 2" xfId="2866" xr:uid="{00000000-0005-0000-0000-0000C70C0000}"/>
    <cellStyle name="Nuovo 36 3 4" xfId="2865" xr:uid="{00000000-0005-0000-0000-0000C80C0000}"/>
    <cellStyle name="Nuovo 36 4" xfId="1525" xr:uid="{00000000-0005-0000-0000-0000C90C0000}"/>
    <cellStyle name="Nuovo 36 4 2" xfId="1526" xr:uid="{00000000-0005-0000-0000-0000CA0C0000}"/>
    <cellStyle name="Nuovo 36 4 2 2" xfId="2868" xr:uid="{00000000-0005-0000-0000-0000CB0C0000}"/>
    <cellStyle name="Nuovo 36 4 3" xfId="2867" xr:uid="{00000000-0005-0000-0000-0000CC0C0000}"/>
    <cellStyle name="Nuovo 36 5" xfId="1527" xr:uid="{00000000-0005-0000-0000-0000CD0C0000}"/>
    <cellStyle name="Nuovo 37" xfId="344" xr:uid="{00000000-0005-0000-0000-0000CE0C0000}"/>
    <cellStyle name="Nuovo 37 2" xfId="580" xr:uid="{00000000-0005-0000-0000-0000CF0C0000}"/>
    <cellStyle name="Nuovo 37 2 2" xfId="2869" xr:uid="{00000000-0005-0000-0000-0000D00C0000}"/>
    <cellStyle name="Nuovo 37 3" xfId="1528" xr:uid="{00000000-0005-0000-0000-0000D10C0000}"/>
    <cellStyle name="Nuovo 37 3 2" xfId="1529" xr:uid="{00000000-0005-0000-0000-0000D20C0000}"/>
    <cellStyle name="Nuovo 37 3 2 2" xfId="4333" xr:uid="{00000000-0005-0000-0000-0000D30C0000}"/>
    <cellStyle name="Nuovo 37 3 3" xfId="1530" xr:uid="{00000000-0005-0000-0000-0000D40C0000}"/>
    <cellStyle name="Nuovo 37 3 3 2" xfId="2871" xr:uid="{00000000-0005-0000-0000-0000D50C0000}"/>
    <cellStyle name="Nuovo 37 3 4" xfId="2870" xr:uid="{00000000-0005-0000-0000-0000D60C0000}"/>
    <cellStyle name="Nuovo 37 4" xfId="1531" xr:uid="{00000000-0005-0000-0000-0000D70C0000}"/>
    <cellStyle name="Nuovo 37 4 2" xfId="1532" xr:uid="{00000000-0005-0000-0000-0000D80C0000}"/>
    <cellStyle name="Nuovo 37 4 2 2" xfId="2873" xr:uid="{00000000-0005-0000-0000-0000D90C0000}"/>
    <cellStyle name="Nuovo 37 4 3" xfId="2872" xr:uid="{00000000-0005-0000-0000-0000DA0C0000}"/>
    <cellStyle name="Nuovo 37 5" xfId="1533" xr:uid="{00000000-0005-0000-0000-0000DB0C0000}"/>
    <cellStyle name="Nuovo 38" xfId="345" xr:uid="{00000000-0005-0000-0000-0000DC0C0000}"/>
    <cellStyle name="Nuovo 38 2" xfId="581" xr:uid="{00000000-0005-0000-0000-0000DD0C0000}"/>
    <cellStyle name="Nuovo 38 2 2" xfId="2874" xr:uid="{00000000-0005-0000-0000-0000DE0C0000}"/>
    <cellStyle name="Nuovo 38 3" xfId="1534" xr:uid="{00000000-0005-0000-0000-0000DF0C0000}"/>
    <cellStyle name="Nuovo 38 3 2" xfId="1535" xr:uid="{00000000-0005-0000-0000-0000E00C0000}"/>
    <cellStyle name="Nuovo 38 3 2 2" xfId="4334" xr:uid="{00000000-0005-0000-0000-0000E10C0000}"/>
    <cellStyle name="Nuovo 38 3 3" xfId="1536" xr:uid="{00000000-0005-0000-0000-0000E20C0000}"/>
    <cellStyle name="Nuovo 38 3 3 2" xfId="2876" xr:uid="{00000000-0005-0000-0000-0000E30C0000}"/>
    <cellStyle name="Nuovo 38 3 4" xfId="2875" xr:uid="{00000000-0005-0000-0000-0000E40C0000}"/>
    <cellStyle name="Nuovo 38 4" xfId="1537" xr:uid="{00000000-0005-0000-0000-0000E50C0000}"/>
    <cellStyle name="Nuovo 38 4 2" xfId="1538" xr:uid="{00000000-0005-0000-0000-0000E60C0000}"/>
    <cellStyle name="Nuovo 38 4 2 2" xfId="2878" xr:uid="{00000000-0005-0000-0000-0000E70C0000}"/>
    <cellStyle name="Nuovo 38 4 3" xfId="2877" xr:uid="{00000000-0005-0000-0000-0000E80C0000}"/>
    <cellStyle name="Nuovo 38 5" xfId="1539" xr:uid="{00000000-0005-0000-0000-0000E90C0000}"/>
    <cellStyle name="Nuovo 39" xfId="346" xr:uid="{00000000-0005-0000-0000-0000EA0C0000}"/>
    <cellStyle name="Nuovo 39 2" xfId="582" xr:uid="{00000000-0005-0000-0000-0000EB0C0000}"/>
    <cellStyle name="Nuovo 39 2 2" xfId="2879" xr:uid="{00000000-0005-0000-0000-0000EC0C0000}"/>
    <cellStyle name="Nuovo 39 3" xfId="1540" xr:uid="{00000000-0005-0000-0000-0000ED0C0000}"/>
    <cellStyle name="Nuovo 39 3 2" xfId="1541" xr:uid="{00000000-0005-0000-0000-0000EE0C0000}"/>
    <cellStyle name="Nuovo 39 3 2 2" xfId="4335" xr:uid="{00000000-0005-0000-0000-0000EF0C0000}"/>
    <cellStyle name="Nuovo 39 3 3" xfId="1542" xr:uid="{00000000-0005-0000-0000-0000F00C0000}"/>
    <cellStyle name="Nuovo 39 3 3 2" xfId="2881" xr:uid="{00000000-0005-0000-0000-0000F10C0000}"/>
    <cellStyle name="Nuovo 39 3 4" xfId="2880" xr:uid="{00000000-0005-0000-0000-0000F20C0000}"/>
    <cellStyle name="Nuovo 39 4" xfId="1543" xr:uid="{00000000-0005-0000-0000-0000F30C0000}"/>
    <cellStyle name="Nuovo 39 4 2" xfId="1544" xr:uid="{00000000-0005-0000-0000-0000F40C0000}"/>
    <cellStyle name="Nuovo 39 4 2 2" xfId="2883" xr:uid="{00000000-0005-0000-0000-0000F50C0000}"/>
    <cellStyle name="Nuovo 39 4 3" xfId="2882" xr:uid="{00000000-0005-0000-0000-0000F60C0000}"/>
    <cellStyle name="Nuovo 39 5" xfId="1545" xr:uid="{00000000-0005-0000-0000-0000F70C0000}"/>
    <cellStyle name="Nuovo 4" xfId="347" xr:uid="{00000000-0005-0000-0000-0000F80C0000}"/>
    <cellStyle name="Nuovo 4 2" xfId="583" xr:uid="{00000000-0005-0000-0000-0000F90C0000}"/>
    <cellStyle name="Nuovo 4 2 2" xfId="2884" xr:uid="{00000000-0005-0000-0000-0000FA0C0000}"/>
    <cellStyle name="Nuovo 4 3" xfId="1546" xr:uid="{00000000-0005-0000-0000-0000FB0C0000}"/>
    <cellStyle name="Nuovo 4 3 2" xfId="1547" xr:uid="{00000000-0005-0000-0000-0000FC0C0000}"/>
    <cellStyle name="Nuovo 4 3 2 2" xfId="4336" xr:uid="{00000000-0005-0000-0000-0000FD0C0000}"/>
    <cellStyle name="Nuovo 4 3 3" xfId="1548" xr:uid="{00000000-0005-0000-0000-0000FE0C0000}"/>
    <cellStyle name="Nuovo 4 3 3 2" xfId="2886" xr:uid="{00000000-0005-0000-0000-0000FF0C0000}"/>
    <cellStyle name="Nuovo 4 3 4" xfId="2885" xr:uid="{00000000-0005-0000-0000-0000000D0000}"/>
    <cellStyle name="Nuovo 4 4" xfId="1549" xr:uid="{00000000-0005-0000-0000-0000010D0000}"/>
    <cellStyle name="Nuovo 4 4 2" xfId="1550" xr:uid="{00000000-0005-0000-0000-0000020D0000}"/>
    <cellStyle name="Nuovo 4 4 2 2" xfId="2888" xr:uid="{00000000-0005-0000-0000-0000030D0000}"/>
    <cellStyle name="Nuovo 4 4 3" xfId="2887" xr:uid="{00000000-0005-0000-0000-0000040D0000}"/>
    <cellStyle name="Nuovo 4 5" xfId="1551" xr:uid="{00000000-0005-0000-0000-0000050D0000}"/>
    <cellStyle name="Nuovo 40" xfId="348" xr:uid="{00000000-0005-0000-0000-0000060D0000}"/>
    <cellStyle name="Nuovo 40 2" xfId="584" xr:uid="{00000000-0005-0000-0000-0000070D0000}"/>
    <cellStyle name="Nuovo 40 2 2" xfId="2889" xr:uid="{00000000-0005-0000-0000-0000080D0000}"/>
    <cellStyle name="Nuovo 40 3" xfId="1552" xr:uid="{00000000-0005-0000-0000-0000090D0000}"/>
    <cellStyle name="Nuovo 40 3 2" xfId="1553" xr:uid="{00000000-0005-0000-0000-00000A0D0000}"/>
    <cellStyle name="Nuovo 40 3 2 2" xfId="4337" xr:uid="{00000000-0005-0000-0000-00000B0D0000}"/>
    <cellStyle name="Nuovo 40 3 3" xfId="1554" xr:uid="{00000000-0005-0000-0000-00000C0D0000}"/>
    <cellStyle name="Nuovo 40 3 3 2" xfId="2891" xr:uid="{00000000-0005-0000-0000-00000D0D0000}"/>
    <cellStyle name="Nuovo 40 3 4" xfId="2890" xr:uid="{00000000-0005-0000-0000-00000E0D0000}"/>
    <cellStyle name="Nuovo 40 4" xfId="1555" xr:uid="{00000000-0005-0000-0000-00000F0D0000}"/>
    <cellStyle name="Nuovo 40 4 2" xfId="1556" xr:uid="{00000000-0005-0000-0000-0000100D0000}"/>
    <cellStyle name="Nuovo 40 4 2 2" xfId="2893" xr:uid="{00000000-0005-0000-0000-0000110D0000}"/>
    <cellStyle name="Nuovo 40 4 3" xfId="2892" xr:uid="{00000000-0005-0000-0000-0000120D0000}"/>
    <cellStyle name="Nuovo 40 5" xfId="1557" xr:uid="{00000000-0005-0000-0000-0000130D0000}"/>
    <cellStyle name="Nuovo 41" xfId="349" xr:uid="{00000000-0005-0000-0000-0000140D0000}"/>
    <cellStyle name="Nuovo 41 2" xfId="585" xr:uid="{00000000-0005-0000-0000-0000150D0000}"/>
    <cellStyle name="Nuovo 41 2 2" xfId="2894" xr:uid="{00000000-0005-0000-0000-0000160D0000}"/>
    <cellStyle name="Nuovo 41 3" xfId="1558" xr:uid="{00000000-0005-0000-0000-0000170D0000}"/>
    <cellStyle name="Nuovo 41 3 2" xfId="1559" xr:uid="{00000000-0005-0000-0000-0000180D0000}"/>
    <cellStyle name="Nuovo 41 3 2 2" xfId="4338" xr:uid="{00000000-0005-0000-0000-0000190D0000}"/>
    <cellStyle name="Nuovo 41 3 3" xfId="1560" xr:uid="{00000000-0005-0000-0000-00001A0D0000}"/>
    <cellStyle name="Nuovo 41 3 3 2" xfId="2896" xr:uid="{00000000-0005-0000-0000-00001B0D0000}"/>
    <cellStyle name="Nuovo 41 3 4" xfId="2895" xr:uid="{00000000-0005-0000-0000-00001C0D0000}"/>
    <cellStyle name="Nuovo 41 4" xfId="1561" xr:uid="{00000000-0005-0000-0000-00001D0D0000}"/>
    <cellStyle name="Nuovo 41 4 2" xfId="1562" xr:uid="{00000000-0005-0000-0000-00001E0D0000}"/>
    <cellStyle name="Nuovo 41 4 2 2" xfId="2898" xr:uid="{00000000-0005-0000-0000-00001F0D0000}"/>
    <cellStyle name="Nuovo 41 4 3" xfId="2897" xr:uid="{00000000-0005-0000-0000-0000200D0000}"/>
    <cellStyle name="Nuovo 41 5" xfId="1563" xr:uid="{00000000-0005-0000-0000-0000210D0000}"/>
    <cellStyle name="Nuovo 42" xfId="350" xr:uid="{00000000-0005-0000-0000-0000220D0000}"/>
    <cellStyle name="Nuovo 42 2" xfId="586" xr:uid="{00000000-0005-0000-0000-0000230D0000}"/>
    <cellStyle name="Nuovo 42 2 2" xfId="2899" xr:uid="{00000000-0005-0000-0000-0000240D0000}"/>
    <cellStyle name="Nuovo 42 3" xfId="1564" xr:uid="{00000000-0005-0000-0000-0000250D0000}"/>
    <cellStyle name="Nuovo 42 3 2" xfId="1565" xr:uid="{00000000-0005-0000-0000-0000260D0000}"/>
    <cellStyle name="Nuovo 42 3 2 2" xfId="4339" xr:uid="{00000000-0005-0000-0000-0000270D0000}"/>
    <cellStyle name="Nuovo 42 3 3" xfId="1566" xr:uid="{00000000-0005-0000-0000-0000280D0000}"/>
    <cellStyle name="Nuovo 42 3 3 2" xfId="2901" xr:uid="{00000000-0005-0000-0000-0000290D0000}"/>
    <cellStyle name="Nuovo 42 3 4" xfId="2900" xr:uid="{00000000-0005-0000-0000-00002A0D0000}"/>
    <cellStyle name="Nuovo 42 4" xfId="1567" xr:uid="{00000000-0005-0000-0000-00002B0D0000}"/>
    <cellStyle name="Nuovo 42 4 2" xfId="1568" xr:uid="{00000000-0005-0000-0000-00002C0D0000}"/>
    <cellStyle name="Nuovo 42 4 2 2" xfId="2903" xr:uid="{00000000-0005-0000-0000-00002D0D0000}"/>
    <cellStyle name="Nuovo 42 4 3" xfId="2902" xr:uid="{00000000-0005-0000-0000-00002E0D0000}"/>
    <cellStyle name="Nuovo 42 5" xfId="1569" xr:uid="{00000000-0005-0000-0000-00002F0D0000}"/>
    <cellStyle name="Nuovo 43" xfId="351" xr:uid="{00000000-0005-0000-0000-0000300D0000}"/>
    <cellStyle name="Nuovo 43 2" xfId="587" xr:uid="{00000000-0005-0000-0000-0000310D0000}"/>
    <cellStyle name="Nuovo 43 2 2" xfId="2904" xr:uid="{00000000-0005-0000-0000-0000320D0000}"/>
    <cellStyle name="Nuovo 43 3" xfId="1570" xr:uid="{00000000-0005-0000-0000-0000330D0000}"/>
    <cellStyle name="Nuovo 43 3 2" xfId="1571" xr:uid="{00000000-0005-0000-0000-0000340D0000}"/>
    <cellStyle name="Nuovo 43 3 2 2" xfId="4340" xr:uid="{00000000-0005-0000-0000-0000350D0000}"/>
    <cellStyle name="Nuovo 43 3 3" xfId="1572" xr:uid="{00000000-0005-0000-0000-0000360D0000}"/>
    <cellStyle name="Nuovo 43 3 3 2" xfId="2906" xr:uid="{00000000-0005-0000-0000-0000370D0000}"/>
    <cellStyle name="Nuovo 43 3 4" xfId="2905" xr:uid="{00000000-0005-0000-0000-0000380D0000}"/>
    <cellStyle name="Nuovo 43 4" xfId="1573" xr:uid="{00000000-0005-0000-0000-0000390D0000}"/>
    <cellStyle name="Nuovo 43 4 2" xfId="1574" xr:uid="{00000000-0005-0000-0000-00003A0D0000}"/>
    <cellStyle name="Nuovo 43 4 2 2" xfId="2908" xr:uid="{00000000-0005-0000-0000-00003B0D0000}"/>
    <cellStyle name="Nuovo 43 4 3" xfId="2907" xr:uid="{00000000-0005-0000-0000-00003C0D0000}"/>
    <cellStyle name="Nuovo 43 5" xfId="1575" xr:uid="{00000000-0005-0000-0000-00003D0D0000}"/>
    <cellStyle name="Nuovo 44" xfId="352" xr:uid="{00000000-0005-0000-0000-00003E0D0000}"/>
    <cellStyle name="Nuovo 44 2" xfId="588" xr:uid="{00000000-0005-0000-0000-00003F0D0000}"/>
    <cellStyle name="Nuovo 44 2 2" xfId="2909" xr:uid="{00000000-0005-0000-0000-0000400D0000}"/>
    <cellStyle name="Nuovo 44 3" xfId="1576" xr:uid="{00000000-0005-0000-0000-0000410D0000}"/>
    <cellStyle name="Nuovo 44 3 2" xfId="1577" xr:uid="{00000000-0005-0000-0000-0000420D0000}"/>
    <cellStyle name="Nuovo 44 3 2 2" xfId="4341" xr:uid="{00000000-0005-0000-0000-0000430D0000}"/>
    <cellStyle name="Nuovo 44 3 3" xfId="1578" xr:uid="{00000000-0005-0000-0000-0000440D0000}"/>
    <cellStyle name="Nuovo 44 3 3 2" xfId="2911" xr:uid="{00000000-0005-0000-0000-0000450D0000}"/>
    <cellStyle name="Nuovo 44 3 4" xfId="2910" xr:uid="{00000000-0005-0000-0000-0000460D0000}"/>
    <cellStyle name="Nuovo 44 4" xfId="1579" xr:uid="{00000000-0005-0000-0000-0000470D0000}"/>
    <cellStyle name="Nuovo 44 4 2" xfId="1580" xr:uid="{00000000-0005-0000-0000-0000480D0000}"/>
    <cellStyle name="Nuovo 44 4 2 2" xfId="2913" xr:uid="{00000000-0005-0000-0000-0000490D0000}"/>
    <cellStyle name="Nuovo 44 4 3" xfId="2912" xr:uid="{00000000-0005-0000-0000-00004A0D0000}"/>
    <cellStyle name="Nuovo 44 5" xfId="1581" xr:uid="{00000000-0005-0000-0000-00004B0D0000}"/>
    <cellStyle name="Nuovo 45" xfId="550" xr:uid="{00000000-0005-0000-0000-00004C0D0000}"/>
    <cellStyle name="Nuovo 45 2" xfId="2914" xr:uid="{00000000-0005-0000-0000-00004D0D0000}"/>
    <cellStyle name="Nuovo 46" xfId="1582" xr:uid="{00000000-0005-0000-0000-00004E0D0000}"/>
    <cellStyle name="Nuovo 46 2" xfId="1583" xr:uid="{00000000-0005-0000-0000-00004F0D0000}"/>
    <cellStyle name="Nuovo 46 2 2" xfId="4342" xr:uid="{00000000-0005-0000-0000-0000500D0000}"/>
    <cellStyle name="Nuovo 46 3" xfId="1584" xr:uid="{00000000-0005-0000-0000-0000510D0000}"/>
    <cellStyle name="Nuovo 46 3 2" xfId="2916" xr:uid="{00000000-0005-0000-0000-0000520D0000}"/>
    <cellStyle name="Nuovo 46 4" xfId="2915" xr:uid="{00000000-0005-0000-0000-0000530D0000}"/>
    <cellStyle name="Nuovo 47" xfId="1585" xr:uid="{00000000-0005-0000-0000-0000540D0000}"/>
    <cellStyle name="Nuovo 47 2" xfId="1586" xr:uid="{00000000-0005-0000-0000-0000550D0000}"/>
    <cellStyle name="Nuovo 47 2 2" xfId="2918" xr:uid="{00000000-0005-0000-0000-0000560D0000}"/>
    <cellStyle name="Nuovo 47 3" xfId="2917" xr:uid="{00000000-0005-0000-0000-0000570D0000}"/>
    <cellStyle name="Nuovo 48" xfId="1587" xr:uid="{00000000-0005-0000-0000-0000580D0000}"/>
    <cellStyle name="Nuovo 5" xfId="353" xr:uid="{00000000-0005-0000-0000-0000590D0000}"/>
    <cellStyle name="Nuovo 5 2" xfId="589" xr:uid="{00000000-0005-0000-0000-00005A0D0000}"/>
    <cellStyle name="Nuovo 5 2 2" xfId="2919" xr:uid="{00000000-0005-0000-0000-00005B0D0000}"/>
    <cellStyle name="Nuovo 5 3" xfId="1588" xr:uid="{00000000-0005-0000-0000-00005C0D0000}"/>
    <cellStyle name="Nuovo 5 3 2" xfId="1589" xr:uid="{00000000-0005-0000-0000-00005D0D0000}"/>
    <cellStyle name="Nuovo 5 3 2 2" xfId="4343" xr:uid="{00000000-0005-0000-0000-00005E0D0000}"/>
    <cellStyle name="Nuovo 5 3 3" xfId="1590" xr:uid="{00000000-0005-0000-0000-00005F0D0000}"/>
    <cellStyle name="Nuovo 5 3 3 2" xfId="2921" xr:uid="{00000000-0005-0000-0000-0000600D0000}"/>
    <cellStyle name="Nuovo 5 3 4" xfId="2920" xr:uid="{00000000-0005-0000-0000-0000610D0000}"/>
    <cellStyle name="Nuovo 5 4" xfId="1591" xr:uid="{00000000-0005-0000-0000-0000620D0000}"/>
    <cellStyle name="Nuovo 5 4 2" xfId="1592" xr:uid="{00000000-0005-0000-0000-0000630D0000}"/>
    <cellStyle name="Nuovo 5 4 2 2" xfId="2923" xr:uid="{00000000-0005-0000-0000-0000640D0000}"/>
    <cellStyle name="Nuovo 5 4 3" xfId="2922" xr:uid="{00000000-0005-0000-0000-0000650D0000}"/>
    <cellStyle name="Nuovo 5 5" xfId="1593" xr:uid="{00000000-0005-0000-0000-0000660D0000}"/>
    <cellStyle name="Nuovo 6" xfId="354" xr:uid="{00000000-0005-0000-0000-0000670D0000}"/>
    <cellStyle name="Nuovo 6 2" xfId="590" xr:uid="{00000000-0005-0000-0000-0000680D0000}"/>
    <cellStyle name="Nuovo 6 2 2" xfId="2924" xr:uid="{00000000-0005-0000-0000-0000690D0000}"/>
    <cellStyle name="Nuovo 6 3" xfId="1594" xr:uid="{00000000-0005-0000-0000-00006A0D0000}"/>
    <cellStyle name="Nuovo 6 3 2" xfId="1595" xr:uid="{00000000-0005-0000-0000-00006B0D0000}"/>
    <cellStyle name="Nuovo 6 3 2 2" xfId="4344" xr:uid="{00000000-0005-0000-0000-00006C0D0000}"/>
    <cellStyle name="Nuovo 6 3 3" xfId="1596" xr:uid="{00000000-0005-0000-0000-00006D0D0000}"/>
    <cellStyle name="Nuovo 6 3 3 2" xfId="2926" xr:uid="{00000000-0005-0000-0000-00006E0D0000}"/>
    <cellStyle name="Nuovo 6 3 4" xfId="2925" xr:uid="{00000000-0005-0000-0000-00006F0D0000}"/>
    <cellStyle name="Nuovo 6 4" xfId="1597" xr:uid="{00000000-0005-0000-0000-0000700D0000}"/>
    <cellStyle name="Nuovo 6 4 2" xfId="1598" xr:uid="{00000000-0005-0000-0000-0000710D0000}"/>
    <cellStyle name="Nuovo 6 4 2 2" xfId="2928" xr:uid="{00000000-0005-0000-0000-0000720D0000}"/>
    <cellStyle name="Nuovo 6 4 3" xfId="2927" xr:uid="{00000000-0005-0000-0000-0000730D0000}"/>
    <cellStyle name="Nuovo 6 5" xfId="1599" xr:uid="{00000000-0005-0000-0000-0000740D0000}"/>
    <cellStyle name="Nuovo 7" xfId="355" xr:uid="{00000000-0005-0000-0000-0000750D0000}"/>
    <cellStyle name="Nuovo 7 2" xfId="591" xr:uid="{00000000-0005-0000-0000-0000760D0000}"/>
    <cellStyle name="Nuovo 7 2 2" xfId="2929" xr:uid="{00000000-0005-0000-0000-0000770D0000}"/>
    <cellStyle name="Nuovo 7 3" xfId="1600" xr:uid="{00000000-0005-0000-0000-0000780D0000}"/>
    <cellStyle name="Nuovo 7 3 2" xfId="1601" xr:uid="{00000000-0005-0000-0000-0000790D0000}"/>
    <cellStyle name="Nuovo 7 3 2 2" xfId="4345" xr:uid="{00000000-0005-0000-0000-00007A0D0000}"/>
    <cellStyle name="Nuovo 7 3 3" xfId="1602" xr:uid="{00000000-0005-0000-0000-00007B0D0000}"/>
    <cellStyle name="Nuovo 7 3 3 2" xfId="2931" xr:uid="{00000000-0005-0000-0000-00007C0D0000}"/>
    <cellStyle name="Nuovo 7 3 4" xfId="2930" xr:uid="{00000000-0005-0000-0000-00007D0D0000}"/>
    <cellStyle name="Nuovo 7 4" xfId="1603" xr:uid="{00000000-0005-0000-0000-00007E0D0000}"/>
    <cellStyle name="Nuovo 7 4 2" xfId="1604" xr:uid="{00000000-0005-0000-0000-00007F0D0000}"/>
    <cellStyle name="Nuovo 7 4 2 2" xfId="2933" xr:uid="{00000000-0005-0000-0000-0000800D0000}"/>
    <cellStyle name="Nuovo 7 4 3" xfId="2932" xr:uid="{00000000-0005-0000-0000-0000810D0000}"/>
    <cellStyle name="Nuovo 7 5" xfId="1605" xr:uid="{00000000-0005-0000-0000-0000820D0000}"/>
    <cellStyle name="Nuovo 8" xfId="356" xr:uid="{00000000-0005-0000-0000-0000830D0000}"/>
    <cellStyle name="Nuovo 8 2" xfId="592" xr:uid="{00000000-0005-0000-0000-0000840D0000}"/>
    <cellStyle name="Nuovo 8 2 2" xfId="2934" xr:uid="{00000000-0005-0000-0000-0000850D0000}"/>
    <cellStyle name="Nuovo 8 3" xfId="1606" xr:uid="{00000000-0005-0000-0000-0000860D0000}"/>
    <cellStyle name="Nuovo 8 3 2" xfId="1607" xr:uid="{00000000-0005-0000-0000-0000870D0000}"/>
    <cellStyle name="Nuovo 8 3 2 2" xfId="4346" xr:uid="{00000000-0005-0000-0000-0000880D0000}"/>
    <cellStyle name="Nuovo 8 3 3" xfId="1608" xr:uid="{00000000-0005-0000-0000-0000890D0000}"/>
    <cellStyle name="Nuovo 8 3 3 2" xfId="2936" xr:uid="{00000000-0005-0000-0000-00008A0D0000}"/>
    <cellStyle name="Nuovo 8 3 4" xfId="2935" xr:uid="{00000000-0005-0000-0000-00008B0D0000}"/>
    <cellStyle name="Nuovo 8 4" xfId="1609" xr:uid="{00000000-0005-0000-0000-00008C0D0000}"/>
    <cellStyle name="Nuovo 8 4 2" xfId="1610" xr:uid="{00000000-0005-0000-0000-00008D0D0000}"/>
    <cellStyle name="Nuovo 8 4 2 2" xfId="2938" xr:uid="{00000000-0005-0000-0000-00008E0D0000}"/>
    <cellStyle name="Nuovo 8 4 3" xfId="2937" xr:uid="{00000000-0005-0000-0000-00008F0D0000}"/>
    <cellStyle name="Nuovo 8 5" xfId="1611" xr:uid="{00000000-0005-0000-0000-0000900D0000}"/>
    <cellStyle name="Nuovo 9" xfId="357" xr:uid="{00000000-0005-0000-0000-0000910D0000}"/>
    <cellStyle name="Nuovo 9 2" xfId="593" xr:uid="{00000000-0005-0000-0000-0000920D0000}"/>
    <cellStyle name="Nuovo 9 2 2" xfId="2939" xr:uid="{00000000-0005-0000-0000-0000930D0000}"/>
    <cellStyle name="Nuovo 9 3" xfId="1612" xr:uid="{00000000-0005-0000-0000-0000940D0000}"/>
    <cellStyle name="Nuovo 9 3 2" xfId="1613" xr:uid="{00000000-0005-0000-0000-0000950D0000}"/>
    <cellStyle name="Nuovo 9 3 2 2" xfId="4347" xr:uid="{00000000-0005-0000-0000-0000960D0000}"/>
    <cellStyle name="Nuovo 9 3 3" xfId="1614" xr:uid="{00000000-0005-0000-0000-0000970D0000}"/>
    <cellStyle name="Nuovo 9 3 3 2" xfId="2941" xr:uid="{00000000-0005-0000-0000-0000980D0000}"/>
    <cellStyle name="Nuovo 9 3 4" xfId="2940" xr:uid="{00000000-0005-0000-0000-0000990D0000}"/>
    <cellStyle name="Nuovo 9 4" xfId="1615" xr:uid="{00000000-0005-0000-0000-00009A0D0000}"/>
    <cellStyle name="Nuovo 9 4 2" xfId="1616" xr:uid="{00000000-0005-0000-0000-00009B0D0000}"/>
    <cellStyle name="Nuovo 9 4 2 2" xfId="2943" xr:uid="{00000000-0005-0000-0000-00009C0D0000}"/>
    <cellStyle name="Nuovo 9 4 3" xfId="2942" xr:uid="{00000000-0005-0000-0000-00009D0D0000}"/>
    <cellStyle name="Nuovo 9 5" xfId="1617" xr:uid="{00000000-0005-0000-0000-00009E0D0000}"/>
    <cellStyle name="Output 2" xfId="358" xr:uid="{00000000-0005-0000-0000-00009F0D0000}"/>
    <cellStyle name="Output 2 2" xfId="4348" xr:uid="{00000000-0005-0000-0000-0000A00D0000}"/>
    <cellStyle name="Output 2 2 2" xfId="4349" xr:uid="{00000000-0005-0000-0000-0000A10D0000}"/>
    <cellStyle name="Output 2 3" xfId="4350" xr:uid="{00000000-0005-0000-0000-0000A20D0000}"/>
    <cellStyle name="Output 3" xfId="1618" xr:uid="{00000000-0005-0000-0000-0000A30D0000}"/>
    <cellStyle name="Output 3 2" xfId="4351" xr:uid="{00000000-0005-0000-0000-0000A40D0000}"/>
    <cellStyle name="Output 3 3" xfId="4352" xr:uid="{00000000-0005-0000-0000-0000A50D0000}"/>
    <cellStyle name="Overskrift 1 2" xfId="1619" xr:uid="{00000000-0005-0000-0000-0000A60D0000}"/>
    <cellStyle name="Overskrift 2 2" xfId="1620" xr:uid="{00000000-0005-0000-0000-0000A70D0000}"/>
    <cellStyle name="Overskrift 3 2" xfId="1621" xr:uid="{00000000-0005-0000-0000-0000A80D0000}"/>
    <cellStyle name="Overskrift 4 2" xfId="1622" xr:uid="{00000000-0005-0000-0000-0000A90D0000}"/>
    <cellStyle name="Percen - Type1" xfId="10" xr:uid="{00000000-0005-0000-0000-0000AA0D0000}"/>
    <cellStyle name="Percent" xfId="437" builtinId="5"/>
    <cellStyle name="Percent 2" xfId="11" xr:uid="{00000000-0005-0000-0000-0000AC0D0000}"/>
    <cellStyle name="Percent 2 2" xfId="2944" xr:uid="{00000000-0005-0000-0000-0000AD0D0000}"/>
    <cellStyle name="Percent 2 2 2" xfId="4353" xr:uid="{00000000-0005-0000-0000-0000AE0D0000}"/>
    <cellStyle name="Percent 2 2 3" xfId="4354" xr:uid="{00000000-0005-0000-0000-0000AF0D0000}"/>
    <cellStyle name="Percent 2 2 3 2" xfId="4355" xr:uid="{00000000-0005-0000-0000-0000B00D0000}"/>
    <cellStyle name="Percent 2 2 4" xfId="4356" xr:uid="{00000000-0005-0000-0000-0000B10D0000}"/>
    <cellStyle name="Percent 2 3" xfId="4357" xr:uid="{00000000-0005-0000-0000-0000B20D0000}"/>
    <cellStyle name="Percent 2 3 2" xfId="4358" xr:uid="{00000000-0005-0000-0000-0000B30D0000}"/>
    <cellStyle name="Percent 3" xfId="359" xr:uid="{00000000-0005-0000-0000-0000B40D0000}"/>
    <cellStyle name="Percent 3 2" xfId="594" xr:uid="{00000000-0005-0000-0000-0000B50D0000}"/>
    <cellStyle name="Percent 3 2 2" xfId="1624" xr:uid="{00000000-0005-0000-0000-0000B60D0000}"/>
    <cellStyle name="Percent 3 2 3" xfId="4359" xr:uid="{00000000-0005-0000-0000-0000B70D0000}"/>
    <cellStyle name="Percent 3 3" xfId="1625" xr:uid="{00000000-0005-0000-0000-0000B80D0000}"/>
    <cellStyle name="Percent 3 3 2" xfId="1626" xr:uid="{00000000-0005-0000-0000-0000B90D0000}"/>
    <cellStyle name="Percent 3 3 2 2" xfId="4360" xr:uid="{00000000-0005-0000-0000-0000BA0D0000}"/>
    <cellStyle name="Percent 3 3 3" xfId="1627" xr:uid="{00000000-0005-0000-0000-0000BB0D0000}"/>
    <cellStyle name="Percent 3 3 3 2" xfId="2946" xr:uid="{00000000-0005-0000-0000-0000BC0D0000}"/>
    <cellStyle name="Percent 3 3 4" xfId="2945" xr:uid="{00000000-0005-0000-0000-0000BD0D0000}"/>
    <cellStyle name="Percent 3 4" xfId="1628" xr:uid="{00000000-0005-0000-0000-0000BE0D0000}"/>
    <cellStyle name="Percent 3 4 2" xfId="4361" xr:uid="{00000000-0005-0000-0000-0000BF0D0000}"/>
    <cellStyle name="Percent 3 5" xfId="1629" xr:uid="{00000000-0005-0000-0000-0000C00D0000}"/>
    <cellStyle name="Percent 3 5 2" xfId="2947" xr:uid="{00000000-0005-0000-0000-0000C10D0000}"/>
    <cellStyle name="Percent 3 6" xfId="1623" xr:uid="{00000000-0005-0000-0000-0000C20D0000}"/>
    <cellStyle name="Percent 4" xfId="1630" xr:uid="{00000000-0005-0000-0000-0000C30D0000}"/>
    <cellStyle name="Percent 4 2" xfId="1631" xr:uid="{00000000-0005-0000-0000-0000C40D0000}"/>
    <cellStyle name="Percent 4 2 2" xfId="2949" xr:uid="{00000000-0005-0000-0000-0000C50D0000}"/>
    <cellStyle name="Percent 4 3" xfId="2948" xr:uid="{00000000-0005-0000-0000-0000C60D0000}"/>
    <cellStyle name="Percent 5" xfId="1632" xr:uid="{00000000-0005-0000-0000-0000C70D0000}"/>
    <cellStyle name="Percent 6" xfId="4362" xr:uid="{00000000-0005-0000-0000-0000C80D0000}"/>
    <cellStyle name="Percentuale 10" xfId="360" xr:uid="{00000000-0005-0000-0000-0000C90D0000}"/>
    <cellStyle name="Percentuale 10 2" xfId="595" xr:uid="{00000000-0005-0000-0000-0000CA0D0000}"/>
    <cellStyle name="Percentuale 10 2 2" xfId="2950" xr:uid="{00000000-0005-0000-0000-0000CB0D0000}"/>
    <cellStyle name="Percentuale 10 3" xfId="1633" xr:uid="{00000000-0005-0000-0000-0000CC0D0000}"/>
    <cellStyle name="Percentuale 10 3 2" xfId="1634" xr:uid="{00000000-0005-0000-0000-0000CD0D0000}"/>
    <cellStyle name="Percentuale 10 3 2 2" xfId="4363" xr:uid="{00000000-0005-0000-0000-0000CE0D0000}"/>
    <cellStyle name="Percentuale 10 3 3" xfId="1635" xr:uid="{00000000-0005-0000-0000-0000CF0D0000}"/>
    <cellStyle name="Percentuale 10 3 3 2" xfId="2952" xr:uid="{00000000-0005-0000-0000-0000D00D0000}"/>
    <cellStyle name="Percentuale 10 3 4" xfId="2951" xr:uid="{00000000-0005-0000-0000-0000D10D0000}"/>
    <cellStyle name="Percentuale 10 4" xfId="1636" xr:uid="{00000000-0005-0000-0000-0000D20D0000}"/>
    <cellStyle name="Percentuale 10 4 2" xfId="1637" xr:uid="{00000000-0005-0000-0000-0000D30D0000}"/>
    <cellStyle name="Percentuale 10 4 2 2" xfId="2954" xr:uid="{00000000-0005-0000-0000-0000D40D0000}"/>
    <cellStyle name="Percentuale 10 4 3" xfId="2953" xr:uid="{00000000-0005-0000-0000-0000D50D0000}"/>
    <cellStyle name="Percentuale 10 5" xfId="1638" xr:uid="{00000000-0005-0000-0000-0000D60D0000}"/>
    <cellStyle name="Percentuale 11" xfId="361" xr:uid="{00000000-0005-0000-0000-0000D70D0000}"/>
    <cellStyle name="Percentuale 11 2" xfId="596" xr:uid="{00000000-0005-0000-0000-0000D80D0000}"/>
    <cellStyle name="Percentuale 11 2 2" xfId="2955" xr:uid="{00000000-0005-0000-0000-0000D90D0000}"/>
    <cellStyle name="Percentuale 11 3" xfId="1639" xr:uid="{00000000-0005-0000-0000-0000DA0D0000}"/>
    <cellStyle name="Percentuale 11 3 2" xfId="1640" xr:uid="{00000000-0005-0000-0000-0000DB0D0000}"/>
    <cellStyle name="Percentuale 11 3 2 2" xfId="4364" xr:uid="{00000000-0005-0000-0000-0000DC0D0000}"/>
    <cellStyle name="Percentuale 11 3 3" xfId="1641" xr:uid="{00000000-0005-0000-0000-0000DD0D0000}"/>
    <cellStyle name="Percentuale 11 3 3 2" xfId="2957" xr:uid="{00000000-0005-0000-0000-0000DE0D0000}"/>
    <cellStyle name="Percentuale 11 3 4" xfId="2956" xr:uid="{00000000-0005-0000-0000-0000DF0D0000}"/>
    <cellStyle name="Percentuale 11 4" xfId="1642" xr:uid="{00000000-0005-0000-0000-0000E00D0000}"/>
    <cellStyle name="Percentuale 11 4 2" xfId="1643" xr:uid="{00000000-0005-0000-0000-0000E10D0000}"/>
    <cellStyle name="Percentuale 11 4 2 2" xfId="2959" xr:uid="{00000000-0005-0000-0000-0000E20D0000}"/>
    <cellStyle name="Percentuale 11 4 3" xfId="2958" xr:uid="{00000000-0005-0000-0000-0000E30D0000}"/>
    <cellStyle name="Percentuale 11 5" xfId="1644" xr:uid="{00000000-0005-0000-0000-0000E40D0000}"/>
    <cellStyle name="Percentuale 12" xfId="362" xr:uid="{00000000-0005-0000-0000-0000E50D0000}"/>
    <cellStyle name="Percentuale 12 2" xfId="597" xr:uid="{00000000-0005-0000-0000-0000E60D0000}"/>
    <cellStyle name="Percentuale 12 2 2" xfId="2960" xr:uid="{00000000-0005-0000-0000-0000E70D0000}"/>
    <cellStyle name="Percentuale 12 3" xfId="1645" xr:uid="{00000000-0005-0000-0000-0000E80D0000}"/>
    <cellStyle name="Percentuale 12 3 2" xfId="1646" xr:uid="{00000000-0005-0000-0000-0000E90D0000}"/>
    <cellStyle name="Percentuale 12 3 2 2" xfId="4365" xr:uid="{00000000-0005-0000-0000-0000EA0D0000}"/>
    <cellStyle name="Percentuale 12 3 3" xfId="1647" xr:uid="{00000000-0005-0000-0000-0000EB0D0000}"/>
    <cellStyle name="Percentuale 12 3 3 2" xfId="2962" xr:uid="{00000000-0005-0000-0000-0000EC0D0000}"/>
    <cellStyle name="Percentuale 12 3 4" xfId="2961" xr:uid="{00000000-0005-0000-0000-0000ED0D0000}"/>
    <cellStyle name="Percentuale 12 4" xfId="1648" xr:uid="{00000000-0005-0000-0000-0000EE0D0000}"/>
    <cellStyle name="Percentuale 12 4 2" xfId="1649" xr:uid="{00000000-0005-0000-0000-0000EF0D0000}"/>
    <cellStyle name="Percentuale 12 4 2 2" xfId="2964" xr:uid="{00000000-0005-0000-0000-0000F00D0000}"/>
    <cellStyle name="Percentuale 12 4 3" xfId="2963" xr:uid="{00000000-0005-0000-0000-0000F10D0000}"/>
    <cellStyle name="Percentuale 12 5" xfId="1650" xr:uid="{00000000-0005-0000-0000-0000F20D0000}"/>
    <cellStyle name="Percentuale 13" xfId="363" xr:uid="{00000000-0005-0000-0000-0000F30D0000}"/>
    <cellStyle name="Percentuale 13 2" xfId="598" xr:uid="{00000000-0005-0000-0000-0000F40D0000}"/>
    <cellStyle name="Percentuale 13 2 2" xfId="2965" xr:uid="{00000000-0005-0000-0000-0000F50D0000}"/>
    <cellStyle name="Percentuale 13 3" xfId="1651" xr:uid="{00000000-0005-0000-0000-0000F60D0000}"/>
    <cellStyle name="Percentuale 13 3 2" xfId="1652" xr:uid="{00000000-0005-0000-0000-0000F70D0000}"/>
    <cellStyle name="Percentuale 13 3 2 2" xfId="4366" xr:uid="{00000000-0005-0000-0000-0000F80D0000}"/>
    <cellStyle name="Percentuale 13 3 3" xfId="1653" xr:uid="{00000000-0005-0000-0000-0000F90D0000}"/>
    <cellStyle name="Percentuale 13 3 3 2" xfId="2967" xr:uid="{00000000-0005-0000-0000-0000FA0D0000}"/>
    <cellStyle name="Percentuale 13 3 4" xfId="2966" xr:uid="{00000000-0005-0000-0000-0000FB0D0000}"/>
    <cellStyle name="Percentuale 13 4" xfId="1654" xr:uid="{00000000-0005-0000-0000-0000FC0D0000}"/>
    <cellStyle name="Percentuale 13 4 2" xfId="1655" xr:uid="{00000000-0005-0000-0000-0000FD0D0000}"/>
    <cellStyle name="Percentuale 13 4 2 2" xfId="2969" xr:uid="{00000000-0005-0000-0000-0000FE0D0000}"/>
    <cellStyle name="Percentuale 13 4 3" xfId="2968" xr:uid="{00000000-0005-0000-0000-0000FF0D0000}"/>
    <cellStyle name="Percentuale 13 5" xfId="1656" xr:uid="{00000000-0005-0000-0000-0000000E0000}"/>
    <cellStyle name="Percentuale 14" xfId="364" xr:uid="{00000000-0005-0000-0000-0000010E0000}"/>
    <cellStyle name="Percentuale 14 2" xfId="599" xr:uid="{00000000-0005-0000-0000-0000020E0000}"/>
    <cellStyle name="Percentuale 14 2 2" xfId="2970" xr:uid="{00000000-0005-0000-0000-0000030E0000}"/>
    <cellStyle name="Percentuale 14 3" xfId="1657" xr:uid="{00000000-0005-0000-0000-0000040E0000}"/>
    <cellStyle name="Percentuale 14 3 2" xfId="1658" xr:uid="{00000000-0005-0000-0000-0000050E0000}"/>
    <cellStyle name="Percentuale 14 3 2 2" xfId="4367" xr:uid="{00000000-0005-0000-0000-0000060E0000}"/>
    <cellStyle name="Percentuale 14 3 3" xfId="1659" xr:uid="{00000000-0005-0000-0000-0000070E0000}"/>
    <cellStyle name="Percentuale 14 3 3 2" xfId="2972" xr:uid="{00000000-0005-0000-0000-0000080E0000}"/>
    <cellStyle name="Percentuale 14 3 4" xfId="2971" xr:uid="{00000000-0005-0000-0000-0000090E0000}"/>
    <cellStyle name="Percentuale 14 4" xfId="1660" xr:uid="{00000000-0005-0000-0000-00000A0E0000}"/>
    <cellStyle name="Percentuale 14 4 2" xfId="1661" xr:uid="{00000000-0005-0000-0000-00000B0E0000}"/>
    <cellStyle name="Percentuale 14 4 2 2" xfId="2974" xr:uid="{00000000-0005-0000-0000-00000C0E0000}"/>
    <cellStyle name="Percentuale 14 4 3" xfId="2973" xr:uid="{00000000-0005-0000-0000-00000D0E0000}"/>
    <cellStyle name="Percentuale 14 5" xfId="1662" xr:uid="{00000000-0005-0000-0000-00000E0E0000}"/>
    <cellStyle name="Percentuale 15" xfId="365" xr:uid="{00000000-0005-0000-0000-00000F0E0000}"/>
    <cellStyle name="Percentuale 15 2" xfId="600" xr:uid="{00000000-0005-0000-0000-0000100E0000}"/>
    <cellStyle name="Percentuale 15 2 2" xfId="2975" xr:uid="{00000000-0005-0000-0000-0000110E0000}"/>
    <cellStyle name="Percentuale 15 3" xfId="1663" xr:uid="{00000000-0005-0000-0000-0000120E0000}"/>
    <cellStyle name="Percentuale 15 3 2" xfId="1664" xr:uid="{00000000-0005-0000-0000-0000130E0000}"/>
    <cellStyle name="Percentuale 15 3 2 2" xfId="4368" xr:uid="{00000000-0005-0000-0000-0000140E0000}"/>
    <cellStyle name="Percentuale 15 3 3" xfId="1665" xr:uid="{00000000-0005-0000-0000-0000150E0000}"/>
    <cellStyle name="Percentuale 15 3 3 2" xfId="2977" xr:uid="{00000000-0005-0000-0000-0000160E0000}"/>
    <cellStyle name="Percentuale 15 3 4" xfId="2976" xr:uid="{00000000-0005-0000-0000-0000170E0000}"/>
    <cellStyle name="Percentuale 15 4" xfId="1666" xr:uid="{00000000-0005-0000-0000-0000180E0000}"/>
    <cellStyle name="Percentuale 15 4 2" xfId="1667" xr:uid="{00000000-0005-0000-0000-0000190E0000}"/>
    <cellStyle name="Percentuale 15 4 2 2" xfId="2979" xr:uid="{00000000-0005-0000-0000-00001A0E0000}"/>
    <cellStyle name="Percentuale 15 4 3" xfId="2978" xr:uid="{00000000-0005-0000-0000-00001B0E0000}"/>
    <cellStyle name="Percentuale 15 5" xfId="1668" xr:uid="{00000000-0005-0000-0000-00001C0E0000}"/>
    <cellStyle name="Percentuale 16" xfId="366" xr:uid="{00000000-0005-0000-0000-00001D0E0000}"/>
    <cellStyle name="Percentuale 16 2" xfId="601" xr:uid="{00000000-0005-0000-0000-00001E0E0000}"/>
    <cellStyle name="Percentuale 16 2 2" xfId="2980" xr:uid="{00000000-0005-0000-0000-00001F0E0000}"/>
    <cellStyle name="Percentuale 16 3" xfId="1669" xr:uid="{00000000-0005-0000-0000-0000200E0000}"/>
    <cellStyle name="Percentuale 16 3 2" xfId="1670" xr:uid="{00000000-0005-0000-0000-0000210E0000}"/>
    <cellStyle name="Percentuale 16 3 2 2" xfId="4369" xr:uid="{00000000-0005-0000-0000-0000220E0000}"/>
    <cellStyle name="Percentuale 16 3 3" xfId="1671" xr:uid="{00000000-0005-0000-0000-0000230E0000}"/>
    <cellStyle name="Percentuale 16 3 3 2" xfId="2982" xr:uid="{00000000-0005-0000-0000-0000240E0000}"/>
    <cellStyle name="Percentuale 16 3 4" xfId="2981" xr:uid="{00000000-0005-0000-0000-0000250E0000}"/>
    <cellStyle name="Percentuale 16 4" xfId="1672" xr:uid="{00000000-0005-0000-0000-0000260E0000}"/>
    <cellStyle name="Percentuale 16 4 2" xfId="1673" xr:uid="{00000000-0005-0000-0000-0000270E0000}"/>
    <cellStyle name="Percentuale 16 4 2 2" xfId="2984" xr:uid="{00000000-0005-0000-0000-0000280E0000}"/>
    <cellStyle name="Percentuale 16 4 3" xfId="2983" xr:uid="{00000000-0005-0000-0000-0000290E0000}"/>
    <cellStyle name="Percentuale 16 5" xfId="1674" xr:uid="{00000000-0005-0000-0000-00002A0E0000}"/>
    <cellStyle name="Percentuale 17" xfId="367" xr:uid="{00000000-0005-0000-0000-00002B0E0000}"/>
    <cellStyle name="Percentuale 17 2" xfId="602" xr:uid="{00000000-0005-0000-0000-00002C0E0000}"/>
    <cellStyle name="Percentuale 17 2 2" xfId="2985" xr:uid="{00000000-0005-0000-0000-00002D0E0000}"/>
    <cellStyle name="Percentuale 17 3" xfId="1675" xr:uid="{00000000-0005-0000-0000-00002E0E0000}"/>
    <cellStyle name="Percentuale 17 3 2" xfId="1676" xr:uid="{00000000-0005-0000-0000-00002F0E0000}"/>
    <cellStyle name="Percentuale 17 3 2 2" xfId="4370" xr:uid="{00000000-0005-0000-0000-0000300E0000}"/>
    <cellStyle name="Percentuale 17 3 3" xfId="1677" xr:uid="{00000000-0005-0000-0000-0000310E0000}"/>
    <cellStyle name="Percentuale 17 3 3 2" xfId="2987" xr:uid="{00000000-0005-0000-0000-0000320E0000}"/>
    <cellStyle name="Percentuale 17 3 4" xfId="2986" xr:uid="{00000000-0005-0000-0000-0000330E0000}"/>
    <cellStyle name="Percentuale 17 4" xfId="1678" xr:uid="{00000000-0005-0000-0000-0000340E0000}"/>
    <cellStyle name="Percentuale 17 4 2" xfId="1679" xr:uid="{00000000-0005-0000-0000-0000350E0000}"/>
    <cellStyle name="Percentuale 17 4 2 2" xfId="2989" xr:uid="{00000000-0005-0000-0000-0000360E0000}"/>
    <cellStyle name="Percentuale 17 4 3" xfId="2988" xr:uid="{00000000-0005-0000-0000-0000370E0000}"/>
    <cellStyle name="Percentuale 17 5" xfId="1680" xr:uid="{00000000-0005-0000-0000-0000380E0000}"/>
    <cellStyle name="Percentuale 18" xfId="368" xr:uid="{00000000-0005-0000-0000-0000390E0000}"/>
    <cellStyle name="Percentuale 18 2" xfId="603" xr:uid="{00000000-0005-0000-0000-00003A0E0000}"/>
    <cellStyle name="Percentuale 18 2 2" xfId="2990" xr:uid="{00000000-0005-0000-0000-00003B0E0000}"/>
    <cellStyle name="Percentuale 18 3" xfId="1681" xr:uid="{00000000-0005-0000-0000-00003C0E0000}"/>
    <cellStyle name="Percentuale 18 3 2" xfId="1682" xr:uid="{00000000-0005-0000-0000-00003D0E0000}"/>
    <cellStyle name="Percentuale 18 3 2 2" xfId="4371" xr:uid="{00000000-0005-0000-0000-00003E0E0000}"/>
    <cellStyle name="Percentuale 18 3 3" xfId="1683" xr:uid="{00000000-0005-0000-0000-00003F0E0000}"/>
    <cellStyle name="Percentuale 18 3 3 2" xfId="2992" xr:uid="{00000000-0005-0000-0000-0000400E0000}"/>
    <cellStyle name="Percentuale 18 3 4" xfId="2991" xr:uid="{00000000-0005-0000-0000-0000410E0000}"/>
    <cellStyle name="Percentuale 18 4" xfId="1684" xr:uid="{00000000-0005-0000-0000-0000420E0000}"/>
    <cellStyle name="Percentuale 18 4 2" xfId="1685" xr:uid="{00000000-0005-0000-0000-0000430E0000}"/>
    <cellStyle name="Percentuale 18 4 2 2" xfId="2994" xr:uid="{00000000-0005-0000-0000-0000440E0000}"/>
    <cellStyle name="Percentuale 18 4 3" xfId="2993" xr:uid="{00000000-0005-0000-0000-0000450E0000}"/>
    <cellStyle name="Percentuale 18 5" xfId="1686" xr:uid="{00000000-0005-0000-0000-0000460E0000}"/>
    <cellStyle name="Percentuale 19" xfId="369" xr:uid="{00000000-0005-0000-0000-0000470E0000}"/>
    <cellStyle name="Percentuale 19 2" xfId="604" xr:uid="{00000000-0005-0000-0000-0000480E0000}"/>
    <cellStyle name="Percentuale 19 2 2" xfId="2995" xr:uid="{00000000-0005-0000-0000-0000490E0000}"/>
    <cellStyle name="Percentuale 19 3" xfId="1687" xr:uid="{00000000-0005-0000-0000-00004A0E0000}"/>
    <cellStyle name="Percentuale 19 3 2" xfId="1688" xr:uid="{00000000-0005-0000-0000-00004B0E0000}"/>
    <cellStyle name="Percentuale 19 3 2 2" xfId="4372" xr:uid="{00000000-0005-0000-0000-00004C0E0000}"/>
    <cellStyle name="Percentuale 19 3 3" xfId="1689" xr:uid="{00000000-0005-0000-0000-00004D0E0000}"/>
    <cellStyle name="Percentuale 19 3 3 2" xfId="2997" xr:uid="{00000000-0005-0000-0000-00004E0E0000}"/>
    <cellStyle name="Percentuale 19 3 4" xfId="2996" xr:uid="{00000000-0005-0000-0000-00004F0E0000}"/>
    <cellStyle name="Percentuale 19 4" xfId="1690" xr:uid="{00000000-0005-0000-0000-0000500E0000}"/>
    <cellStyle name="Percentuale 19 4 2" xfId="1691" xr:uid="{00000000-0005-0000-0000-0000510E0000}"/>
    <cellStyle name="Percentuale 19 4 2 2" xfId="2999" xr:uid="{00000000-0005-0000-0000-0000520E0000}"/>
    <cellStyle name="Percentuale 19 4 3" xfId="2998" xr:uid="{00000000-0005-0000-0000-0000530E0000}"/>
    <cellStyle name="Percentuale 19 5" xfId="1692" xr:uid="{00000000-0005-0000-0000-0000540E0000}"/>
    <cellStyle name="Percentuale 2" xfId="370" xr:uid="{00000000-0005-0000-0000-0000550E0000}"/>
    <cellStyle name="Percentuale 2 2" xfId="605" xr:uid="{00000000-0005-0000-0000-0000560E0000}"/>
    <cellStyle name="Percentuale 2 2 2" xfId="3000" xr:uid="{00000000-0005-0000-0000-0000570E0000}"/>
    <cellStyle name="Percentuale 2 3" xfId="1693" xr:uid="{00000000-0005-0000-0000-0000580E0000}"/>
    <cellStyle name="Percentuale 2 3 2" xfId="1694" xr:uid="{00000000-0005-0000-0000-0000590E0000}"/>
    <cellStyle name="Percentuale 2 3 2 2" xfId="4373" xr:uid="{00000000-0005-0000-0000-00005A0E0000}"/>
    <cellStyle name="Percentuale 2 3 3" xfId="1695" xr:uid="{00000000-0005-0000-0000-00005B0E0000}"/>
    <cellStyle name="Percentuale 2 3 3 2" xfId="3002" xr:uid="{00000000-0005-0000-0000-00005C0E0000}"/>
    <cellStyle name="Percentuale 2 3 4" xfId="3001" xr:uid="{00000000-0005-0000-0000-00005D0E0000}"/>
    <cellStyle name="Percentuale 2 4" xfId="1696" xr:uid="{00000000-0005-0000-0000-00005E0E0000}"/>
    <cellStyle name="Percentuale 2 4 2" xfId="1697" xr:uid="{00000000-0005-0000-0000-00005F0E0000}"/>
    <cellStyle name="Percentuale 2 4 2 2" xfId="3004" xr:uid="{00000000-0005-0000-0000-0000600E0000}"/>
    <cellStyle name="Percentuale 2 4 3" xfId="3003" xr:uid="{00000000-0005-0000-0000-0000610E0000}"/>
    <cellStyle name="Percentuale 2 5" xfId="1698" xr:uid="{00000000-0005-0000-0000-0000620E0000}"/>
    <cellStyle name="Percentuale 20" xfId="371" xr:uid="{00000000-0005-0000-0000-0000630E0000}"/>
    <cellStyle name="Percentuale 20 2" xfId="606" xr:uid="{00000000-0005-0000-0000-0000640E0000}"/>
    <cellStyle name="Percentuale 20 2 2" xfId="3005" xr:uid="{00000000-0005-0000-0000-0000650E0000}"/>
    <cellStyle name="Percentuale 20 3" xfId="1699" xr:uid="{00000000-0005-0000-0000-0000660E0000}"/>
    <cellStyle name="Percentuale 20 3 2" xfId="1700" xr:uid="{00000000-0005-0000-0000-0000670E0000}"/>
    <cellStyle name="Percentuale 20 3 2 2" xfId="4374" xr:uid="{00000000-0005-0000-0000-0000680E0000}"/>
    <cellStyle name="Percentuale 20 3 3" xfId="1701" xr:uid="{00000000-0005-0000-0000-0000690E0000}"/>
    <cellStyle name="Percentuale 20 3 3 2" xfId="3007" xr:uid="{00000000-0005-0000-0000-00006A0E0000}"/>
    <cellStyle name="Percentuale 20 3 4" xfId="3006" xr:uid="{00000000-0005-0000-0000-00006B0E0000}"/>
    <cellStyle name="Percentuale 20 4" xfId="1702" xr:uid="{00000000-0005-0000-0000-00006C0E0000}"/>
    <cellStyle name="Percentuale 20 4 2" xfId="1703" xr:uid="{00000000-0005-0000-0000-00006D0E0000}"/>
    <cellStyle name="Percentuale 20 4 2 2" xfId="3009" xr:uid="{00000000-0005-0000-0000-00006E0E0000}"/>
    <cellStyle name="Percentuale 20 4 3" xfId="3008" xr:uid="{00000000-0005-0000-0000-00006F0E0000}"/>
    <cellStyle name="Percentuale 20 5" xfId="1704" xr:uid="{00000000-0005-0000-0000-0000700E0000}"/>
    <cellStyle name="Percentuale 21" xfId="372" xr:uid="{00000000-0005-0000-0000-0000710E0000}"/>
    <cellStyle name="Percentuale 21 2" xfId="607" xr:uid="{00000000-0005-0000-0000-0000720E0000}"/>
    <cellStyle name="Percentuale 21 2 2" xfId="3010" xr:uid="{00000000-0005-0000-0000-0000730E0000}"/>
    <cellStyle name="Percentuale 21 3" xfId="1705" xr:uid="{00000000-0005-0000-0000-0000740E0000}"/>
    <cellStyle name="Percentuale 21 3 2" xfId="1706" xr:uid="{00000000-0005-0000-0000-0000750E0000}"/>
    <cellStyle name="Percentuale 21 3 2 2" xfId="4375" xr:uid="{00000000-0005-0000-0000-0000760E0000}"/>
    <cellStyle name="Percentuale 21 3 3" xfId="1707" xr:uid="{00000000-0005-0000-0000-0000770E0000}"/>
    <cellStyle name="Percentuale 21 3 3 2" xfId="3012" xr:uid="{00000000-0005-0000-0000-0000780E0000}"/>
    <cellStyle name="Percentuale 21 3 4" xfId="3011" xr:uid="{00000000-0005-0000-0000-0000790E0000}"/>
    <cellStyle name="Percentuale 21 4" xfId="1708" xr:uid="{00000000-0005-0000-0000-00007A0E0000}"/>
    <cellStyle name="Percentuale 21 4 2" xfId="1709" xr:uid="{00000000-0005-0000-0000-00007B0E0000}"/>
    <cellStyle name="Percentuale 21 4 2 2" xfId="3014" xr:uid="{00000000-0005-0000-0000-00007C0E0000}"/>
    <cellStyle name="Percentuale 21 4 3" xfId="3013" xr:uid="{00000000-0005-0000-0000-00007D0E0000}"/>
    <cellStyle name="Percentuale 21 5" xfId="1710" xr:uid="{00000000-0005-0000-0000-00007E0E0000}"/>
    <cellStyle name="Percentuale 22" xfId="373" xr:uid="{00000000-0005-0000-0000-00007F0E0000}"/>
    <cellStyle name="Percentuale 22 2" xfId="608" xr:uid="{00000000-0005-0000-0000-0000800E0000}"/>
    <cellStyle name="Percentuale 22 2 2" xfId="3015" xr:uid="{00000000-0005-0000-0000-0000810E0000}"/>
    <cellStyle name="Percentuale 22 3" xfId="1711" xr:uid="{00000000-0005-0000-0000-0000820E0000}"/>
    <cellStyle name="Percentuale 22 3 2" xfId="1712" xr:uid="{00000000-0005-0000-0000-0000830E0000}"/>
    <cellStyle name="Percentuale 22 3 2 2" xfId="4376" xr:uid="{00000000-0005-0000-0000-0000840E0000}"/>
    <cellStyle name="Percentuale 22 3 3" xfId="1713" xr:uid="{00000000-0005-0000-0000-0000850E0000}"/>
    <cellStyle name="Percentuale 22 3 3 2" xfId="3017" xr:uid="{00000000-0005-0000-0000-0000860E0000}"/>
    <cellStyle name="Percentuale 22 3 4" xfId="3016" xr:uid="{00000000-0005-0000-0000-0000870E0000}"/>
    <cellStyle name="Percentuale 22 4" xfId="1714" xr:uid="{00000000-0005-0000-0000-0000880E0000}"/>
    <cellStyle name="Percentuale 22 4 2" xfId="1715" xr:uid="{00000000-0005-0000-0000-0000890E0000}"/>
    <cellStyle name="Percentuale 22 4 2 2" xfId="3019" xr:uid="{00000000-0005-0000-0000-00008A0E0000}"/>
    <cellStyle name="Percentuale 22 4 3" xfId="3018" xr:uid="{00000000-0005-0000-0000-00008B0E0000}"/>
    <cellStyle name="Percentuale 22 5" xfId="1716" xr:uid="{00000000-0005-0000-0000-00008C0E0000}"/>
    <cellStyle name="Percentuale 23" xfId="374" xr:uid="{00000000-0005-0000-0000-00008D0E0000}"/>
    <cellStyle name="Percentuale 23 2" xfId="609" xr:uid="{00000000-0005-0000-0000-00008E0E0000}"/>
    <cellStyle name="Percentuale 23 2 2" xfId="3020" xr:uid="{00000000-0005-0000-0000-00008F0E0000}"/>
    <cellStyle name="Percentuale 23 3" xfId="1717" xr:uid="{00000000-0005-0000-0000-0000900E0000}"/>
    <cellStyle name="Percentuale 23 3 2" xfId="1718" xr:uid="{00000000-0005-0000-0000-0000910E0000}"/>
    <cellStyle name="Percentuale 23 3 2 2" xfId="4377" xr:uid="{00000000-0005-0000-0000-0000920E0000}"/>
    <cellStyle name="Percentuale 23 3 3" xfId="1719" xr:uid="{00000000-0005-0000-0000-0000930E0000}"/>
    <cellStyle name="Percentuale 23 3 3 2" xfId="3022" xr:uid="{00000000-0005-0000-0000-0000940E0000}"/>
    <cellStyle name="Percentuale 23 3 4" xfId="3021" xr:uid="{00000000-0005-0000-0000-0000950E0000}"/>
    <cellStyle name="Percentuale 23 4" xfId="1720" xr:uid="{00000000-0005-0000-0000-0000960E0000}"/>
    <cellStyle name="Percentuale 23 4 2" xfId="1721" xr:uid="{00000000-0005-0000-0000-0000970E0000}"/>
    <cellStyle name="Percentuale 23 4 2 2" xfId="3024" xr:uid="{00000000-0005-0000-0000-0000980E0000}"/>
    <cellStyle name="Percentuale 23 4 3" xfId="3023" xr:uid="{00000000-0005-0000-0000-0000990E0000}"/>
    <cellStyle name="Percentuale 23 5" xfId="1722" xr:uid="{00000000-0005-0000-0000-00009A0E0000}"/>
    <cellStyle name="Percentuale 24" xfId="375" xr:uid="{00000000-0005-0000-0000-00009B0E0000}"/>
    <cellStyle name="Percentuale 24 2" xfId="610" xr:uid="{00000000-0005-0000-0000-00009C0E0000}"/>
    <cellStyle name="Percentuale 24 2 2" xfId="3025" xr:uid="{00000000-0005-0000-0000-00009D0E0000}"/>
    <cellStyle name="Percentuale 24 3" xfId="1723" xr:uid="{00000000-0005-0000-0000-00009E0E0000}"/>
    <cellStyle name="Percentuale 24 3 2" xfId="1724" xr:uid="{00000000-0005-0000-0000-00009F0E0000}"/>
    <cellStyle name="Percentuale 24 3 2 2" xfId="4378" xr:uid="{00000000-0005-0000-0000-0000A00E0000}"/>
    <cellStyle name="Percentuale 24 3 3" xfId="1725" xr:uid="{00000000-0005-0000-0000-0000A10E0000}"/>
    <cellStyle name="Percentuale 24 3 3 2" xfId="3027" xr:uid="{00000000-0005-0000-0000-0000A20E0000}"/>
    <cellStyle name="Percentuale 24 3 4" xfId="3026" xr:uid="{00000000-0005-0000-0000-0000A30E0000}"/>
    <cellStyle name="Percentuale 24 4" xfId="1726" xr:uid="{00000000-0005-0000-0000-0000A40E0000}"/>
    <cellStyle name="Percentuale 24 4 2" xfId="1727" xr:uid="{00000000-0005-0000-0000-0000A50E0000}"/>
    <cellStyle name="Percentuale 24 4 2 2" xfId="3029" xr:uid="{00000000-0005-0000-0000-0000A60E0000}"/>
    <cellStyle name="Percentuale 24 4 3" xfId="3028" xr:uid="{00000000-0005-0000-0000-0000A70E0000}"/>
    <cellStyle name="Percentuale 24 5" xfId="1728" xr:uid="{00000000-0005-0000-0000-0000A80E0000}"/>
    <cellStyle name="Percentuale 25" xfId="376" xr:uid="{00000000-0005-0000-0000-0000A90E0000}"/>
    <cellStyle name="Percentuale 25 2" xfId="611" xr:uid="{00000000-0005-0000-0000-0000AA0E0000}"/>
    <cellStyle name="Percentuale 25 2 2" xfId="3030" xr:uid="{00000000-0005-0000-0000-0000AB0E0000}"/>
    <cellStyle name="Percentuale 25 3" xfId="1729" xr:uid="{00000000-0005-0000-0000-0000AC0E0000}"/>
    <cellStyle name="Percentuale 25 3 2" xfId="1730" xr:uid="{00000000-0005-0000-0000-0000AD0E0000}"/>
    <cellStyle name="Percentuale 25 3 2 2" xfId="4379" xr:uid="{00000000-0005-0000-0000-0000AE0E0000}"/>
    <cellStyle name="Percentuale 25 3 3" xfId="1731" xr:uid="{00000000-0005-0000-0000-0000AF0E0000}"/>
    <cellStyle name="Percentuale 25 3 3 2" xfId="3032" xr:uid="{00000000-0005-0000-0000-0000B00E0000}"/>
    <cellStyle name="Percentuale 25 3 4" xfId="3031" xr:uid="{00000000-0005-0000-0000-0000B10E0000}"/>
    <cellStyle name="Percentuale 25 4" xfId="1732" xr:uid="{00000000-0005-0000-0000-0000B20E0000}"/>
    <cellStyle name="Percentuale 25 4 2" xfId="1733" xr:uid="{00000000-0005-0000-0000-0000B30E0000}"/>
    <cellStyle name="Percentuale 25 4 2 2" xfId="3034" xr:uid="{00000000-0005-0000-0000-0000B40E0000}"/>
    <cellStyle name="Percentuale 25 4 3" xfId="3033" xr:uid="{00000000-0005-0000-0000-0000B50E0000}"/>
    <cellStyle name="Percentuale 25 5" xfId="1734" xr:uid="{00000000-0005-0000-0000-0000B60E0000}"/>
    <cellStyle name="Percentuale 26" xfId="377" xr:uid="{00000000-0005-0000-0000-0000B70E0000}"/>
    <cellStyle name="Percentuale 26 2" xfId="612" xr:uid="{00000000-0005-0000-0000-0000B80E0000}"/>
    <cellStyle name="Percentuale 26 2 2" xfId="3035" xr:uid="{00000000-0005-0000-0000-0000B90E0000}"/>
    <cellStyle name="Percentuale 26 3" xfId="1735" xr:uid="{00000000-0005-0000-0000-0000BA0E0000}"/>
    <cellStyle name="Percentuale 26 3 2" xfId="1736" xr:uid="{00000000-0005-0000-0000-0000BB0E0000}"/>
    <cellStyle name="Percentuale 26 3 2 2" xfId="4380" xr:uid="{00000000-0005-0000-0000-0000BC0E0000}"/>
    <cellStyle name="Percentuale 26 3 3" xfId="1737" xr:uid="{00000000-0005-0000-0000-0000BD0E0000}"/>
    <cellStyle name="Percentuale 26 3 3 2" xfId="3037" xr:uid="{00000000-0005-0000-0000-0000BE0E0000}"/>
    <cellStyle name="Percentuale 26 3 4" xfId="3036" xr:uid="{00000000-0005-0000-0000-0000BF0E0000}"/>
    <cellStyle name="Percentuale 26 4" xfId="1738" xr:uid="{00000000-0005-0000-0000-0000C00E0000}"/>
    <cellStyle name="Percentuale 26 4 2" xfId="1739" xr:uid="{00000000-0005-0000-0000-0000C10E0000}"/>
    <cellStyle name="Percentuale 26 4 2 2" xfId="3039" xr:uid="{00000000-0005-0000-0000-0000C20E0000}"/>
    <cellStyle name="Percentuale 26 4 3" xfId="3038" xr:uid="{00000000-0005-0000-0000-0000C30E0000}"/>
    <cellStyle name="Percentuale 26 5" xfId="1740" xr:uid="{00000000-0005-0000-0000-0000C40E0000}"/>
    <cellStyle name="Percentuale 27" xfId="378" xr:uid="{00000000-0005-0000-0000-0000C50E0000}"/>
    <cellStyle name="Percentuale 27 2" xfId="613" xr:uid="{00000000-0005-0000-0000-0000C60E0000}"/>
    <cellStyle name="Percentuale 27 2 2" xfId="3040" xr:uid="{00000000-0005-0000-0000-0000C70E0000}"/>
    <cellStyle name="Percentuale 27 3" xfId="1741" xr:uid="{00000000-0005-0000-0000-0000C80E0000}"/>
    <cellStyle name="Percentuale 27 3 2" xfId="1742" xr:uid="{00000000-0005-0000-0000-0000C90E0000}"/>
    <cellStyle name="Percentuale 27 3 2 2" xfId="4381" xr:uid="{00000000-0005-0000-0000-0000CA0E0000}"/>
    <cellStyle name="Percentuale 27 3 3" xfId="1743" xr:uid="{00000000-0005-0000-0000-0000CB0E0000}"/>
    <cellStyle name="Percentuale 27 3 3 2" xfId="3042" xr:uid="{00000000-0005-0000-0000-0000CC0E0000}"/>
    <cellStyle name="Percentuale 27 3 4" xfId="3041" xr:uid="{00000000-0005-0000-0000-0000CD0E0000}"/>
    <cellStyle name="Percentuale 27 4" xfId="1744" xr:uid="{00000000-0005-0000-0000-0000CE0E0000}"/>
    <cellStyle name="Percentuale 27 4 2" xfId="1745" xr:uid="{00000000-0005-0000-0000-0000CF0E0000}"/>
    <cellStyle name="Percentuale 27 4 2 2" xfId="3044" xr:uid="{00000000-0005-0000-0000-0000D00E0000}"/>
    <cellStyle name="Percentuale 27 4 3" xfId="3043" xr:uid="{00000000-0005-0000-0000-0000D10E0000}"/>
    <cellStyle name="Percentuale 27 5" xfId="1746" xr:uid="{00000000-0005-0000-0000-0000D20E0000}"/>
    <cellStyle name="Percentuale 28" xfId="379" xr:uid="{00000000-0005-0000-0000-0000D30E0000}"/>
    <cellStyle name="Percentuale 28 2" xfId="614" xr:uid="{00000000-0005-0000-0000-0000D40E0000}"/>
    <cellStyle name="Percentuale 28 2 2" xfId="3045" xr:uid="{00000000-0005-0000-0000-0000D50E0000}"/>
    <cellStyle name="Percentuale 28 3" xfId="1747" xr:uid="{00000000-0005-0000-0000-0000D60E0000}"/>
    <cellStyle name="Percentuale 28 3 2" xfId="1748" xr:uid="{00000000-0005-0000-0000-0000D70E0000}"/>
    <cellStyle name="Percentuale 28 3 2 2" xfId="4382" xr:uid="{00000000-0005-0000-0000-0000D80E0000}"/>
    <cellStyle name="Percentuale 28 3 3" xfId="1749" xr:uid="{00000000-0005-0000-0000-0000D90E0000}"/>
    <cellStyle name="Percentuale 28 3 3 2" xfId="3047" xr:uid="{00000000-0005-0000-0000-0000DA0E0000}"/>
    <cellStyle name="Percentuale 28 3 4" xfId="3046" xr:uid="{00000000-0005-0000-0000-0000DB0E0000}"/>
    <cellStyle name="Percentuale 28 4" xfId="1750" xr:uid="{00000000-0005-0000-0000-0000DC0E0000}"/>
    <cellStyle name="Percentuale 28 4 2" xfId="1751" xr:uid="{00000000-0005-0000-0000-0000DD0E0000}"/>
    <cellStyle name="Percentuale 28 4 2 2" xfId="3049" xr:uid="{00000000-0005-0000-0000-0000DE0E0000}"/>
    <cellStyle name="Percentuale 28 4 3" xfId="3048" xr:uid="{00000000-0005-0000-0000-0000DF0E0000}"/>
    <cellStyle name="Percentuale 28 5" xfId="1752" xr:uid="{00000000-0005-0000-0000-0000E00E0000}"/>
    <cellStyle name="Percentuale 29" xfId="380" xr:uid="{00000000-0005-0000-0000-0000E10E0000}"/>
    <cellStyle name="Percentuale 29 2" xfId="615" xr:uid="{00000000-0005-0000-0000-0000E20E0000}"/>
    <cellStyle name="Percentuale 29 2 2" xfId="3050" xr:uid="{00000000-0005-0000-0000-0000E30E0000}"/>
    <cellStyle name="Percentuale 29 3" xfId="1753" xr:uid="{00000000-0005-0000-0000-0000E40E0000}"/>
    <cellStyle name="Percentuale 29 3 2" xfId="1754" xr:uid="{00000000-0005-0000-0000-0000E50E0000}"/>
    <cellStyle name="Percentuale 29 3 2 2" xfId="4383" xr:uid="{00000000-0005-0000-0000-0000E60E0000}"/>
    <cellStyle name="Percentuale 29 3 3" xfId="1755" xr:uid="{00000000-0005-0000-0000-0000E70E0000}"/>
    <cellStyle name="Percentuale 29 3 3 2" xfId="3052" xr:uid="{00000000-0005-0000-0000-0000E80E0000}"/>
    <cellStyle name="Percentuale 29 3 4" xfId="3051" xr:uid="{00000000-0005-0000-0000-0000E90E0000}"/>
    <cellStyle name="Percentuale 29 4" xfId="1756" xr:uid="{00000000-0005-0000-0000-0000EA0E0000}"/>
    <cellStyle name="Percentuale 29 4 2" xfId="1757" xr:uid="{00000000-0005-0000-0000-0000EB0E0000}"/>
    <cellStyle name="Percentuale 29 4 2 2" xfId="3054" xr:uid="{00000000-0005-0000-0000-0000EC0E0000}"/>
    <cellStyle name="Percentuale 29 4 3" xfId="3053" xr:uid="{00000000-0005-0000-0000-0000ED0E0000}"/>
    <cellStyle name="Percentuale 29 5" xfId="1758" xr:uid="{00000000-0005-0000-0000-0000EE0E0000}"/>
    <cellStyle name="Percentuale 3" xfId="381" xr:uid="{00000000-0005-0000-0000-0000EF0E0000}"/>
    <cellStyle name="Percentuale 3 2" xfId="616" xr:uid="{00000000-0005-0000-0000-0000F00E0000}"/>
    <cellStyle name="Percentuale 3 2 2" xfId="3055" xr:uid="{00000000-0005-0000-0000-0000F10E0000}"/>
    <cellStyle name="Percentuale 3 3" xfId="1759" xr:uid="{00000000-0005-0000-0000-0000F20E0000}"/>
    <cellStyle name="Percentuale 3 3 2" xfId="1760" xr:uid="{00000000-0005-0000-0000-0000F30E0000}"/>
    <cellStyle name="Percentuale 3 3 2 2" xfId="4384" xr:uid="{00000000-0005-0000-0000-0000F40E0000}"/>
    <cellStyle name="Percentuale 3 3 3" xfId="1761" xr:uid="{00000000-0005-0000-0000-0000F50E0000}"/>
    <cellStyle name="Percentuale 3 3 3 2" xfId="3057" xr:uid="{00000000-0005-0000-0000-0000F60E0000}"/>
    <cellStyle name="Percentuale 3 3 4" xfId="3056" xr:uid="{00000000-0005-0000-0000-0000F70E0000}"/>
    <cellStyle name="Percentuale 3 4" xfId="1762" xr:uid="{00000000-0005-0000-0000-0000F80E0000}"/>
    <cellStyle name="Percentuale 3 4 2" xfId="1763" xr:uid="{00000000-0005-0000-0000-0000F90E0000}"/>
    <cellStyle name="Percentuale 3 4 2 2" xfId="3059" xr:uid="{00000000-0005-0000-0000-0000FA0E0000}"/>
    <cellStyle name="Percentuale 3 4 3" xfId="3058" xr:uid="{00000000-0005-0000-0000-0000FB0E0000}"/>
    <cellStyle name="Percentuale 3 5" xfId="1764" xr:uid="{00000000-0005-0000-0000-0000FC0E0000}"/>
    <cellStyle name="Percentuale 30" xfId="382" xr:uid="{00000000-0005-0000-0000-0000FD0E0000}"/>
    <cellStyle name="Percentuale 30 2" xfId="617" xr:uid="{00000000-0005-0000-0000-0000FE0E0000}"/>
    <cellStyle name="Percentuale 30 2 2" xfId="3060" xr:uid="{00000000-0005-0000-0000-0000FF0E0000}"/>
    <cellStyle name="Percentuale 30 3" xfId="1765" xr:uid="{00000000-0005-0000-0000-0000000F0000}"/>
    <cellStyle name="Percentuale 30 3 2" xfId="1766" xr:uid="{00000000-0005-0000-0000-0000010F0000}"/>
    <cellStyle name="Percentuale 30 3 2 2" xfId="4385" xr:uid="{00000000-0005-0000-0000-0000020F0000}"/>
    <cellStyle name="Percentuale 30 3 3" xfId="1767" xr:uid="{00000000-0005-0000-0000-0000030F0000}"/>
    <cellStyle name="Percentuale 30 3 3 2" xfId="3062" xr:uid="{00000000-0005-0000-0000-0000040F0000}"/>
    <cellStyle name="Percentuale 30 3 4" xfId="3061" xr:uid="{00000000-0005-0000-0000-0000050F0000}"/>
    <cellStyle name="Percentuale 30 4" xfId="1768" xr:uid="{00000000-0005-0000-0000-0000060F0000}"/>
    <cellStyle name="Percentuale 30 4 2" xfId="1769" xr:uid="{00000000-0005-0000-0000-0000070F0000}"/>
    <cellStyle name="Percentuale 30 4 2 2" xfId="3064" xr:uid="{00000000-0005-0000-0000-0000080F0000}"/>
    <cellStyle name="Percentuale 30 4 3" xfId="3063" xr:uid="{00000000-0005-0000-0000-0000090F0000}"/>
    <cellStyle name="Percentuale 30 5" xfId="1770" xr:uid="{00000000-0005-0000-0000-00000A0F0000}"/>
    <cellStyle name="Percentuale 31" xfId="383" xr:uid="{00000000-0005-0000-0000-00000B0F0000}"/>
    <cellStyle name="Percentuale 31 2" xfId="618" xr:uid="{00000000-0005-0000-0000-00000C0F0000}"/>
    <cellStyle name="Percentuale 31 2 2" xfId="3065" xr:uid="{00000000-0005-0000-0000-00000D0F0000}"/>
    <cellStyle name="Percentuale 31 3" xfId="1771" xr:uid="{00000000-0005-0000-0000-00000E0F0000}"/>
    <cellStyle name="Percentuale 31 3 2" xfId="1772" xr:uid="{00000000-0005-0000-0000-00000F0F0000}"/>
    <cellStyle name="Percentuale 31 3 2 2" xfId="4386" xr:uid="{00000000-0005-0000-0000-0000100F0000}"/>
    <cellStyle name="Percentuale 31 3 3" xfId="1773" xr:uid="{00000000-0005-0000-0000-0000110F0000}"/>
    <cellStyle name="Percentuale 31 3 3 2" xfId="3067" xr:uid="{00000000-0005-0000-0000-0000120F0000}"/>
    <cellStyle name="Percentuale 31 3 4" xfId="3066" xr:uid="{00000000-0005-0000-0000-0000130F0000}"/>
    <cellStyle name="Percentuale 31 4" xfId="1774" xr:uid="{00000000-0005-0000-0000-0000140F0000}"/>
    <cellStyle name="Percentuale 31 4 2" xfId="1775" xr:uid="{00000000-0005-0000-0000-0000150F0000}"/>
    <cellStyle name="Percentuale 31 4 2 2" xfId="3069" xr:uid="{00000000-0005-0000-0000-0000160F0000}"/>
    <cellStyle name="Percentuale 31 4 3" xfId="3068" xr:uid="{00000000-0005-0000-0000-0000170F0000}"/>
    <cellStyle name="Percentuale 31 5" xfId="1776" xr:uid="{00000000-0005-0000-0000-0000180F0000}"/>
    <cellStyle name="Percentuale 32" xfId="384" xr:uid="{00000000-0005-0000-0000-0000190F0000}"/>
    <cellStyle name="Percentuale 32 2" xfId="619" xr:uid="{00000000-0005-0000-0000-00001A0F0000}"/>
    <cellStyle name="Percentuale 32 2 2" xfId="3070" xr:uid="{00000000-0005-0000-0000-00001B0F0000}"/>
    <cellStyle name="Percentuale 32 3" xfId="1777" xr:uid="{00000000-0005-0000-0000-00001C0F0000}"/>
    <cellStyle name="Percentuale 32 3 2" xfId="1778" xr:uid="{00000000-0005-0000-0000-00001D0F0000}"/>
    <cellStyle name="Percentuale 32 3 2 2" xfId="4387" xr:uid="{00000000-0005-0000-0000-00001E0F0000}"/>
    <cellStyle name="Percentuale 32 3 3" xfId="1779" xr:uid="{00000000-0005-0000-0000-00001F0F0000}"/>
    <cellStyle name="Percentuale 32 3 3 2" xfId="3072" xr:uid="{00000000-0005-0000-0000-0000200F0000}"/>
    <cellStyle name="Percentuale 32 3 4" xfId="3071" xr:uid="{00000000-0005-0000-0000-0000210F0000}"/>
    <cellStyle name="Percentuale 32 4" xfId="1780" xr:uid="{00000000-0005-0000-0000-0000220F0000}"/>
    <cellStyle name="Percentuale 32 4 2" xfId="1781" xr:uid="{00000000-0005-0000-0000-0000230F0000}"/>
    <cellStyle name="Percentuale 32 4 2 2" xfId="3074" xr:uid="{00000000-0005-0000-0000-0000240F0000}"/>
    <cellStyle name="Percentuale 32 4 3" xfId="3073" xr:uid="{00000000-0005-0000-0000-0000250F0000}"/>
    <cellStyle name="Percentuale 32 5" xfId="1782" xr:uid="{00000000-0005-0000-0000-0000260F0000}"/>
    <cellStyle name="Percentuale 33" xfId="385" xr:uid="{00000000-0005-0000-0000-0000270F0000}"/>
    <cellStyle name="Percentuale 33 2" xfId="620" xr:uid="{00000000-0005-0000-0000-0000280F0000}"/>
    <cellStyle name="Percentuale 33 2 2" xfId="3075" xr:uid="{00000000-0005-0000-0000-0000290F0000}"/>
    <cellStyle name="Percentuale 33 3" xfId="1783" xr:uid="{00000000-0005-0000-0000-00002A0F0000}"/>
    <cellStyle name="Percentuale 33 3 2" xfId="1784" xr:uid="{00000000-0005-0000-0000-00002B0F0000}"/>
    <cellStyle name="Percentuale 33 3 2 2" xfId="4388" xr:uid="{00000000-0005-0000-0000-00002C0F0000}"/>
    <cellStyle name="Percentuale 33 3 3" xfId="1785" xr:uid="{00000000-0005-0000-0000-00002D0F0000}"/>
    <cellStyle name="Percentuale 33 3 3 2" xfId="3077" xr:uid="{00000000-0005-0000-0000-00002E0F0000}"/>
    <cellStyle name="Percentuale 33 3 4" xfId="3076" xr:uid="{00000000-0005-0000-0000-00002F0F0000}"/>
    <cellStyle name="Percentuale 33 4" xfId="1786" xr:uid="{00000000-0005-0000-0000-0000300F0000}"/>
    <cellStyle name="Percentuale 33 4 2" xfId="1787" xr:uid="{00000000-0005-0000-0000-0000310F0000}"/>
    <cellStyle name="Percentuale 33 4 2 2" xfId="3079" xr:uid="{00000000-0005-0000-0000-0000320F0000}"/>
    <cellStyle name="Percentuale 33 4 3" xfId="3078" xr:uid="{00000000-0005-0000-0000-0000330F0000}"/>
    <cellStyle name="Percentuale 33 5" xfId="1788" xr:uid="{00000000-0005-0000-0000-0000340F0000}"/>
    <cellStyle name="Percentuale 34" xfId="386" xr:uid="{00000000-0005-0000-0000-0000350F0000}"/>
    <cellStyle name="Percentuale 34 2" xfId="621" xr:uid="{00000000-0005-0000-0000-0000360F0000}"/>
    <cellStyle name="Percentuale 34 2 2" xfId="3080" xr:uid="{00000000-0005-0000-0000-0000370F0000}"/>
    <cellStyle name="Percentuale 34 3" xfId="1789" xr:uid="{00000000-0005-0000-0000-0000380F0000}"/>
    <cellStyle name="Percentuale 34 3 2" xfId="1790" xr:uid="{00000000-0005-0000-0000-0000390F0000}"/>
    <cellStyle name="Percentuale 34 3 2 2" xfId="4389" xr:uid="{00000000-0005-0000-0000-00003A0F0000}"/>
    <cellStyle name="Percentuale 34 3 3" xfId="1791" xr:uid="{00000000-0005-0000-0000-00003B0F0000}"/>
    <cellStyle name="Percentuale 34 3 3 2" xfId="3082" xr:uid="{00000000-0005-0000-0000-00003C0F0000}"/>
    <cellStyle name="Percentuale 34 3 4" xfId="3081" xr:uid="{00000000-0005-0000-0000-00003D0F0000}"/>
    <cellStyle name="Percentuale 34 4" xfId="1792" xr:uid="{00000000-0005-0000-0000-00003E0F0000}"/>
    <cellStyle name="Percentuale 34 4 2" xfId="1793" xr:uid="{00000000-0005-0000-0000-00003F0F0000}"/>
    <cellStyle name="Percentuale 34 4 2 2" xfId="3084" xr:uid="{00000000-0005-0000-0000-0000400F0000}"/>
    <cellStyle name="Percentuale 34 4 3" xfId="3083" xr:uid="{00000000-0005-0000-0000-0000410F0000}"/>
    <cellStyle name="Percentuale 34 5" xfId="1794" xr:uid="{00000000-0005-0000-0000-0000420F0000}"/>
    <cellStyle name="Percentuale 35" xfId="387" xr:uid="{00000000-0005-0000-0000-0000430F0000}"/>
    <cellStyle name="Percentuale 35 2" xfId="622" xr:uid="{00000000-0005-0000-0000-0000440F0000}"/>
    <cellStyle name="Percentuale 35 2 2" xfId="3085" xr:uid="{00000000-0005-0000-0000-0000450F0000}"/>
    <cellStyle name="Percentuale 35 3" xfId="1795" xr:uid="{00000000-0005-0000-0000-0000460F0000}"/>
    <cellStyle name="Percentuale 35 3 2" xfId="1796" xr:uid="{00000000-0005-0000-0000-0000470F0000}"/>
    <cellStyle name="Percentuale 35 3 2 2" xfId="4390" xr:uid="{00000000-0005-0000-0000-0000480F0000}"/>
    <cellStyle name="Percentuale 35 3 3" xfId="1797" xr:uid="{00000000-0005-0000-0000-0000490F0000}"/>
    <cellStyle name="Percentuale 35 3 3 2" xfId="3087" xr:uid="{00000000-0005-0000-0000-00004A0F0000}"/>
    <cellStyle name="Percentuale 35 3 4" xfId="3086" xr:uid="{00000000-0005-0000-0000-00004B0F0000}"/>
    <cellStyle name="Percentuale 35 4" xfId="1798" xr:uid="{00000000-0005-0000-0000-00004C0F0000}"/>
    <cellStyle name="Percentuale 35 4 2" xfId="1799" xr:uid="{00000000-0005-0000-0000-00004D0F0000}"/>
    <cellStyle name="Percentuale 35 4 2 2" xfId="3089" xr:uid="{00000000-0005-0000-0000-00004E0F0000}"/>
    <cellStyle name="Percentuale 35 4 3" xfId="3088" xr:uid="{00000000-0005-0000-0000-00004F0F0000}"/>
    <cellStyle name="Percentuale 35 5" xfId="1800" xr:uid="{00000000-0005-0000-0000-0000500F0000}"/>
    <cellStyle name="Percentuale 36" xfId="388" xr:uid="{00000000-0005-0000-0000-0000510F0000}"/>
    <cellStyle name="Percentuale 36 2" xfId="623" xr:uid="{00000000-0005-0000-0000-0000520F0000}"/>
    <cellStyle name="Percentuale 36 2 2" xfId="3090" xr:uid="{00000000-0005-0000-0000-0000530F0000}"/>
    <cellStyle name="Percentuale 36 3" xfId="1801" xr:uid="{00000000-0005-0000-0000-0000540F0000}"/>
    <cellStyle name="Percentuale 36 3 2" xfId="1802" xr:uid="{00000000-0005-0000-0000-0000550F0000}"/>
    <cellStyle name="Percentuale 36 3 2 2" xfId="4391" xr:uid="{00000000-0005-0000-0000-0000560F0000}"/>
    <cellStyle name="Percentuale 36 3 3" xfId="1803" xr:uid="{00000000-0005-0000-0000-0000570F0000}"/>
    <cellStyle name="Percentuale 36 3 3 2" xfId="3092" xr:uid="{00000000-0005-0000-0000-0000580F0000}"/>
    <cellStyle name="Percentuale 36 3 4" xfId="3091" xr:uid="{00000000-0005-0000-0000-0000590F0000}"/>
    <cellStyle name="Percentuale 36 4" xfId="1804" xr:uid="{00000000-0005-0000-0000-00005A0F0000}"/>
    <cellStyle name="Percentuale 36 4 2" xfId="1805" xr:uid="{00000000-0005-0000-0000-00005B0F0000}"/>
    <cellStyle name="Percentuale 36 4 2 2" xfId="3094" xr:uid="{00000000-0005-0000-0000-00005C0F0000}"/>
    <cellStyle name="Percentuale 36 4 3" xfId="3093" xr:uid="{00000000-0005-0000-0000-00005D0F0000}"/>
    <cellStyle name="Percentuale 36 5" xfId="1806" xr:uid="{00000000-0005-0000-0000-00005E0F0000}"/>
    <cellStyle name="Percentuale 37" xfId="389" xr:uid="{00000000-0005-0000-0000-00005F0F0000}"/>
    <cellStyle name="Percentuale 37 2" xfId="624" xr:uid="{00000000-0005-0000-0000-0000600F0000}"/>
    <cellStyle name="Percentuale 37 2 2" xfId="3095" xr:uid="{00000000-0005-0000-0000-0000610F0000}"/>
    <cellStyle name="Percentuale 37 3" xfId="1807" xr:uid="{00000000-0005-0000-0000-0000620F0000}"/>
    <cellStyle name="Percentuale 37 3 2" xfId="1808" xr:uid="{00000000-0005-0000-0000-0000630F0000}"/>
    <cellStyle name="Percentuale 37 3 2 2" xfId="4392" xr:uid="{00000000-0005-0000-0000-0000640F0000}"/>
    <cellStyle name="Percentuale 37 3 3" xfId="1809" xr:uid="{00000000-0005-0000-0000-0000650F0000}"/>
    <cellStyle name="Percentuale 37 3 3 2" xfId="3097" xr:uid="{00000000-0005-0000-0000-0000660F0000}"/>
    <cellStyle name="Percentuale 37 3 4" xfId="3096" xr:uid="{00000000-0005-0000-0000-0000670F0000}"/>
    <cellStyle name="Percentuale 37 4" xfId="1810" xr:uid="{00000000-0005-0000-0000-0000680F0000}"/>
    <cellStyle name="Percentuale 37 4 2" xfId="1811" xr:uid="{00000000-0005-0000-0000-0000690F0000}"/>
    <cellStyle name="Percentuale 37 4 2 2" xfId="3099" xr:uid="{00000000-0005-0000-0000-00006A0F0000}"/>
    <cellStyle name="Percentuale 37 4 3" xfId="3098" xr:uid="{00000000-0005-0000-0000-00006B0F0000}"/>
    <cellStyle name="Percentuale 37 5" xfId="1812" xr:uid="{00000000-0005-0000-0000-00006C0F0000}"/>
    <cellStyle name="Percentuale 38" xfId="390" xr:uid="{00000000-0005-0000-0000-00006D0F0000}"/>
    <cellStyle name="Percentuale 38 2" xfId="625" xr:uid="{00000000-0005-0000-0000-00006E0F0000}"/>
    <cellStyle name="Percentuale 38 2 2" xfId="3100" xr:uid="{00000000-0005-0000-0000-00006F0F0000}"/>
    <cellStyle name="Percentuale 38 3" xfId="1813" xr:uid="{00000000-0005-0000-0000-0000700F0000}"/>
    <cellStyle name="Percentuale 38 3 2" xfId="1814" xr:uid="{00000000-0005-0000-0000-0000710F0000}"/>
    <cellStyle name="Percentuale 38 3 2 2" xfId="4393" xr:uid="{00000000-0005-0000-0000-0000720F0000}"/>
    <cellStyle name="Percentuale 38 3 3" xfId="1815" xr:uid="{00000000-0005-0000-0000-0000730F0000}"/>
    <cellStyle name="Percentuale 38 3 3 2" xfId="3102" xr:uid="{00000000-0005-0000-0000-0000740F0000}"/>
    <cellStyle name="Percentuale 38 3 4" xfId="3101" xr:uid="{00000000-0005-0000-0000-0000750F0000}"/>
    <cellStyle name="Percentuale 38 4" xfId="1816" xr:uid="{00000000-0005-0000-0000-0000760F0000}"/>
    <cellStyle name="Percentuale 38 4 2" xfId="1817" xr:uid="{00000000-0005-0000-0000-0000770F0000}"/>
    <cellStyle name="Percentuale 38 4 2 2" xfId="3104" xr:uid="{00000000-0005-0000-0000-0000780F0000}"/>
    <cellStyle name="Percentuale 38 4 3" xfId="3103" xr:uid="{00000000-0005-0000-0000-0000790F0000}"/>
    <cellStyle name="Percentuale 38 5" xfId="1818" xr:uid="{00000000-0005-0000-0000-00007A0F0000}"/>
    <cellStyle name="Percentuale 39" xfId="391" xr:uid="{00000000-0005-0000-0000-00007B0F0000}"/>
    <cellStyle name="Percentuale 39 2" xfId="626" xr:uid="{00000000-0005-0000-0000-00007C0F0000}"/>
    <cellStyle name="Percentuale 39 2 2" xfId="3105" xr:uid="{00000000-0005-0000-0000-00007D0F0000}"/>
    <cellStyle name="Percentuale 39 3" xfId="1819" xr:uid="{00000000-0005-0000-0000-00007E0F0000}"/>
    <cellStyle name="Percentuale 39 3 2" xfId="1820" xr:uid="{00000000-0005-0000-0000-00007F0F0000}"/>
    <cellStyle name="Percentuale 39 3 2 2" xfId="4394" xr:uid="{00000000-0005-0000-0000-0000800F0000}"/>
    <cellStyle name="Percentuale 39 3 3" xfId="1821" xr:uid="{00000000-0005-0000-0000-0000810F0000}"/>
    <cellStyle name="Percentuale 39 3 3 2" xfId="3107" xr:uid="{00000000-0005-0000-0000-0000820F0000}"/>
    <cellStyle name="Percentuale 39 3 4" xfId="3106" xr:uid="{00000000-0005-0000-0000-0000830F0000}"/>
    <cellStyle name="Percentuale 39 4" xfId="1822" xr:uid="{00000000-0005-0000-0000-0000840F0000}"/>
    <cellStyle name="Percentuale 39 4 2" xfId="1823" xr:uid="{00000000-0005-0000-0000-0000850F0000}"/>
    <cellStyle name="Percentuale 39 4 2 2" xfId="3109" xr:uid="{00000000-0005-0000-0000-0000860F0000}"/>
    <cellStyle name="Percentuale 39 4 3" xfId="3108" xr:uid="{00000000-0005-0000-0000-0000870F0000}"/>
    <cellStyle name="Percentuale 39 5" xfId="1824" xr:uid="{00000000-0005-0000-0000-0000880F0000}"/>
    <cellStyle name="Percentuale 4" xfId="392" xr:uid="{00000000-0005-0000-0000-0000890F0000}"/>
    <cellStyle name="Percentuale 4 2" xfId="627" xr:uid="{00000000-0005-0000-0000-00008A0F0000}"/>
    <cellStyle name="Percentuale 4 2 2" xfId="3110" xr:uid="{00000000-0005-0000-0000-00008B0F0000}"/>
    <cellStyle name="Percentuale 4 3" xfId="1825" xr:uid="{00000000-0005-0000-0000-00008C0F0000}"/>
    <cellStyle name="Percentuale 4 3 2" xfId="1826" xr:uid="{00000000-0005-0000-0000-00008D0F0000}"/>
    <cellStyle name="Percentuale 4 3 2 2" xfId="4395" xr:uid="{00000000-0005-0000-0000-00008E0F0000}"/>
    <cellStyle name="Percentuale 4 3 3" xfId="1827" xr:uid="{00000000-0005-0000-0000-00008F0F0000}"/>
    <cellStyle name="Percentuale 4 3 3 2" xfId="3112" xr:uid="{00000000-0005-0000-0000-0000900F0000}"/>
    <cellStyle name="Percentuale 4 3 4" xfId="3111" xr:uid="{00000000-0005-0000-0000-0000910F0000}"/>
    <cellStyle name="Percentuale 4 4" xfId="1828" xr:uid="{00000000-0005-0000-0000-0000920F0000}"/>
    <cellStyle name="Percentuale 4 4 2" xfId="1829" xr:uid="{00000000-0005-0000-0000-0000930F0000}"/>
    <cellStyle name="Percentuale 4 4 2 2" xfId="3114" xr:uid="{00000000-0005-0000-0000-0000940F0000}"/>
    <cellStyle name="Percentuale 4 4 3" xfId="3113" xr:uid="{00000000-0005-0000-0000-0000950F0000}"/>
    <cellStyle name="Percentuale 4 5" xfId="1830" xr:uid="{00000000-0005-0000-0000-0000960F0000}"/>
    <cellStyle name="Percentuale 40" xfId="393" xr:uid="{00000000-0005-0000-0000-0000970F0000}"/>
    <cellStyle name="Percentuale 40 2" xfId="628" xr:uid="{00000000-0005-0000-0000-0000980F0000}"/>
    <cellStyle name="Percentuale 40 2 2" xfId="3115" xr:uid="{00000000-0005-0000-0000-0000990F0000}"/>
    <cellStyle name="Percentuale 40 3" xfId="1831" xr:uid="{00000000-0005-0000-0000-00009A0F0000}"/>
    <cellStyle name="Percentuale 40 3 2" xfId="1832" xr:uid="{00000000-0005-0000-0000-00009B0F0000}"/>
    <cellStyle name="Percentuale 40 3 2 2" xfId="4396" xr:uid="{00000000-0005-0000-0000-00009C0F0000}"/>
    <cellStyle name="Percentuale 40 3 3" xfId="1833" xr:uid="{00000000-0005-0000-0000-00009D0F0000}"/>
    <cellStyle name="Percentuale 40 3 3 2" xfId="3117" xr:uid="{00000000-0005-0000-0000-00009E0F0000}"/>
    <cellStyle name="Percentuale 40 3 4" xfId="3116" xr:uid="{00000000-0005-0000-0000-00009F0F0000}"/>
    <cellStyle name="Percentuale 40 4" xfId="1834" xr:uid="{00000000-0005-0000-0000-0000A00F0000}"/>
    <cellStyle name="Percentuale 40 4 2" xfId="1835" xr:uid="{00000000-0005-0000-0000-0000A10F0000}"/>
    <cellStyle name="Percentuale 40 4 2 2" xfId="3119" xr:uid="{00000000-0005-0000-0000-0000A20F0000}"/>
    <cellStyle name="Percentuale 40 4 3" xfId="3118" xr:uid="{00000000-0005-0000-0000-0000A30F0000}"/>
    <cellStyle name="Percentuale 40 5" xfId="1836" xr:uid="{00000000-0005-0000-0000-0000A40F0000}"/>
    <cellStyle name="Percentuale 41" xfId="394" xr:uid="{00000000-0005-0000-0000-0000A50F0000}"/>
    <cellStyle name="Percentuale 41 2" xfId="629" xr:uid="{00000000-0005-0000-0000-0000A60F0000}"/>
    <cellStyle name="Percentuale 41 2 2" xfId="3120" xr:uid="{00000000-0005-0000-0000-0000A70F0000}"/>
    <cellStyle name="Percentuale 41 3" xfId="1837" xr:uid="{00000000-0005-0000-0000-0000A80F0000}"/>
    <cellStyle name="Percentuale 41 3 2" xfId="1838" xr:uid="{00000000-0005-0000-0000-0000A90F0000}"/>
    <cellStyle name="Percentuale 41 3 2 2" xfId="4397" xr:uid="{00000000-0005-0000-0000-0000AA0F0000}"/>
    <cellStyle name="Percentuale 41 3 3" xfId="1839" xr:uid="{00000000-0005-0000-0000-0000AB0F0000}"/>
    <cellStyle name="Percentuale 41 3 3 2" xfId="3122" xr:uid="{00000000-0005-0000-0000-0000AC0F0000}"/>
    <cellStyle name="Percentuale 41 3 4" xfId="3121" xr:uid="{00000000-0005-0000-0000-0000AD0F0000}"/>
    <cellStyle name="Percentuale 41 4" xfId="1840" xr:uid="{00000000-0005-0000-0000-0000AE0F0000}"/>
    <cellStyle name="Percentuale 41 4 2" xfId="1841" xr:uid="{00000000-0005-0000-0000-0000AF0F0000}"/>
    <cellStyle name="Percentuale 41 4 2 2" xfId="3124" xr:uid="{00000000-0005-0000-0000-0000B00F0000}"/>
    <cellStyle name="Percentuale 41 4 3" xfId="3123" xr:uid="{00000000-0005-0000-0000-0000B10F0000}"/>
    <cellStyle name="Percentuale 41 5" xfId="1842" xr:uid="{00000000-0005-0000-0000-0000B20F0000}"/>
    <cellStyle name="Percentuale 42" xfId="395" xr:uid="{00000000-0005-0000-0000-0000B30F0000}"/>
    <cellStyle name="Percentuale 42 2" xfId="630" xr:uid="{00000000-0005-0000-0000-0000B40F0000}"/>
    <cellStyle name="Percentuale 42 2 2" xfId="3125" xr:uid="{00000000-0005-0000-0000-0000B50F0000}"/>
    <cellStyle name="Percentuale 42 3" xfId="1843" xr:uid="{00000000-0005-0000-0000-0000B60F0000}"/>
    <cellStyle name="Percentuale 42 3 2" xfId="1844" xr:uid="{00000000-0005-0000-0000-0000B70F0000}"/>
    <cellStyle name="Percentuale 42 3 2 2" xfId="4398" xr:uid="{00000000-0005-0000-0000-0000B80F0000}"/>
    <cellStyle name="Percentuale 42 3 3" xfId="1845" xr:uid="{00000000-0005-0000-0000-0000B90F0000}"/>
    <cellStyle name="Percentuale 42 3 3 2" xfId="3127" xr:uid="{00000000-0005-0000-0000-0000BA0F0000}"/>
    <cellStyle name="Percentuale 42 3 4" xfId="3126" xr:uid="{00000000-0005-0000-0000-0000BB0F0000}"/>
    <cellStyle name="Percentuale 42 4" xfId="1846" xr:uid="{00000000-0005-0000-0000-0000BC0F0000}"/>
    <cellStyle name="Percentuale 42 4 2" xfId="1847" xr:uid="{00000000-0005-0000-0000-0000BD0F0000}"/>
    <cellStyle name="Percentuale 42 4 2 2" xfId="3129" xr:uid="{00000000-0005-0000-0000-0000BE0F0000}"/>
    <cellStyle name="Percentuale 42 4 3" xfId="3128" xr:uid="{00000000-0005-0000-0000-0000BF0F0000}"/>
    <cellStyle name="Percentuale 42 5" xfId="1848" xr:uid="{00000000-0005-0000-0000-0000C00F0000}"/>
    <cellStyle name="Percentuale 43" xfId="396" xr:uid="{00000000-0005-0000-0000-0000C10F0000}"/>
    <cellStyle name="Percentuale 43 2" xfId="631" xr:uid="{00000000-0005-0000-0000-0000C20F0000}"/>
    <cellStyle name="Percentuale 43 2 2" xfId="3130" xr:uid="{00000000-0005-0000-0000-0000C30F0000}"/>
    <cellStyle name="Percentuale 43 3" xfId="1849" xr:uid="{00000000-0005-0000-0000-0000C40F0000}"/>
    <cellStyle name="Percentuale 43 3 2" xfId="1850" xr:uid="{00000000-0005-0000-0000-0000C50F0000}"/>
    <cellStyle name="Percentuale 43 3 2 2" xfId="4399" xr:uid="{00000000-0005-0000-0000-0000C60F0000}"/>
    <cellStyle name="Percentuale 43 3 3" xfId="1851" xr:uid="{00000000-0005-0000-0000-0000C70F0000}"/>
    <cellStyle name="Percentuale 43 3 3 2" xfId="3132" xr:uid="{00000000-0005-0000-0000-0000C80F0000}"/>
    <cellStyle name="Percentuale 43 3 4" xfId="3131" xr:uid="{00000000-0005-0000-0000-0000C90F0000}"/>
    <cellStyle name="Percentuale 43 4" xfId="1852" xr:uid="{00000000-0005-0000-0000-0000CA0F0000}"/>
    <cellStyle name="Percentuale 43 4 2" xfId="1853" xr:uid="{00000000-0005-0000-0000-0000CB0F0000}"/>
    <cellStyle name="Percentuale 43 4 2 2" xfId="3134" xr:uid="{00000000-0005-0000-0000-0000CC0F0000}"/>
    <cellStyle name="Percentuale 43 4 3" xfId="3133" xr:uid="{00000000-0005-0000-0000-0000CD0F0000}"/>
    <cellStyle name="Percentuale 43 5" xfId="1854" xr:uid="{00000000-0005-0000-0000-0000CE0F0000}"/>
    <cellStyle name="Percentuale 44" xfId="397" xr:uid="{00000000-0005-0000-0000-0000CF0F0000}"/>
    <cellStyle name="Percentuale 44 2" xfId="632" xr:uid="{00000000-0005-0000-0000-0000D00F0000}"/>
    <cellStyle name="Percentuale 44 2 2" xfId="3135" xr:uid="{00000000-0005-0000-0000-0000D10F0000}"/>
    <cellStyle name="Percentuale 44 3" xfId="1855" xr:uid="{00000000-0005-0000-0000-0000D20F0000}"/>
    <cellStyle name="Percentuale 44 3 2" xfId="1856" xr:uid="{00000000-0005-0000-0000-0000D30F0000}"/>
    <cellStyle name="Percentuale 44 3 2 2" xfId="4400" xr:uid="{00000000-0005-0000-0000-0000D40F0000}"/>
    <cellStyle name="Percentuale 44 3 3" xfId="1857" xr:uid="{00000000-0005-0000-0000-0000D50F0000}"/>
    <cellStyle name="Percentuale 44 3 3 2" xfId="3137" xr:uid="{00000000-0005-0000-0000-0000D60F0000}"/>
    <cellStyle name="Percentuale 44 3 4" xfId="3136" xr:uid="{00000000-0005-0000-0000-0000D70F0000}"/>
    <cellStyle name="Percentuale 44 4" xfId="1858" xr:uid="{00000000-0005-0000-0000-0000D80F0000}"/>
    <cellStyle name="Percentuale 44 4 2" xfId="1859" xr:uid="{00000000-0005-0000-0000-0000D90F0000}"/>
    <cellStyle name="Percentuale 44 4 2 2" xfId="3139" xr:uid="{00000000-0005-0000-0000-0000DA0F0000}"/>
    <cellStyle name="Percentuale 44 4 3" xfId="3138" xr:uid="{00000000-0005-0000-0000-0000DB0F0000}"/>
    <cellStyle name="Percentuale 44 5" xfId="1860" xr:uid="{00000000-0005-0000-0000-0000DC0F0000}"/>
    <cellStyle name="Percentuale 45" xfId="398" xr:uid="{00000000-0005-0000-0000-0000DD0F0000}"/>
    <cellStyle name="Percentuale 45 2" xfId="633" xr:uid="{00000000-0005-0000-0000-0000DE0F0000}"/>
    <cellStyle name="Percentuale 45 2 2" xfId="3140" xr:uid="{00000000-0005-0000-0000-0000DF0F0000}"/>
    <cellStyle name="Percentuale 45 3" xfId="1861" xr:uid="{00000000-0005-0000-0000-0000E00F0000}"/>
    <cellStyle name="Percentuale 45 3 2" xfId="1862" xr:uid="{00000000-0005-0000-0000-0000E10F0000}"/>
    <cellStyle name="Percentuale 45 3 2 2" xfId="4401" xr:uid="{00000000-0005-0000-0000-0000E20F0000}"/>
    <cellStyle name="Percentuale 45 3 3" xfId="1863" xr:uid="{00000000-0005-0000-0000-0000E30F0000}"/>
    <cellStyle name="Percentuale 45 3 3 2" xfId="3142" xr:uid="{00000000-0005-0000-0000-0000E40F0000}"/>
    <cellStyle name="Percentuale 45 3 4" xfId="3141" xr:uid="{00000000-0005-0000-0000-0000E50F0000}"/>
    <cellStyle name="Percentuale 45 4" xfId="1864" xr:uid="{00000000-0005-0000-0000-0000E60F0000}"/>
    <cellStyle name="Percentuale 45 4 2" xfId="1865" xr:uid="{00000000-0005-0000-0000-0000E70F0000}"/>
    <cellStyle name="Percentuale 45 4 2 2" xfId="3144" xr:uid="{00000000-0005-0000-0000-0000E80F0000}"/>
    <cellStyle name="Percentuale 45 4 3" xfId="3143" xr:uid="{00000000-0005-0000-0000-0000E90F0000}"/>
    <cellStyle name="Percentuale 45 5" xfId="1866" xr:uid="{00000000-0005-0000-0000-0000EA0F0000}"/>
    <cellStyle name="Percentuale 46" xfId="399" xr:uid="{00000000-0005-0000-0000-0000EB0F0000}"/>
    <cellStyle name="Percentuale 46 2" xfId="634" xr:uid="{00000000-0005-0000-0000-0000EC0F0000}"/>
    <cellStyle name="Percentuale 46 2 2" xfId="3145" xr:uid="{00000000-0005-0000-0000-0000ED0F0000}"/>
    <cellStyle name="Percentuale 46 3" xfId="1867" xr:uid="{00000000-0005-0000-0000-0000EE0F0000}"/>
    <cellStyle name="Percentuale 46 3 2" xfId="1868" xr:uid="{00000000-0005-0000-0000-0000EF0F0000}"/>
    <cellStyle name="Percentuale 46 3 2 2" xfId="4402" xr:uid="{00000000-0005-0000-0000-0000F00F0000}"/>
    <cellStyle name="Percentuale 46 3 3" xfId="1869" xr:uid="{00000000-0005-0000-0000-0000F10F0000}"/>
    <cellStyle name="Percentuale 46 3 3 2" xfId="3147" xr:uid="{00000000-0005-0000-0000-0000F20F0000}"/>
    <cellStyle name="Percentuale 46 3 4" xfId="3146" xr:uid="{00000000-0005-0000-0000-0000F30F0000}"/>
    <cellStyle name="Percentuale 46 4" xfId="1870" xr:uid="{00000000-0005-0000-0000-0000F40F0000}"/>
    <cellStyle name="Percentuale 46 4 2" xfId="1871" xr:uid="{00000000-0005-0000-0000-0000F50F0000}"/>
    <cellStyle name="Percentuale 46 4 2 2" xfId="3149" xr:uid="{00000000-0005-0000-0000-0000F60F0000}"/>
    <cellStyle name="Percentuale 46 4 3" xfId="3148" xr:uid="{00000000-0005-0000-0000-0000F70F0000}"/>
    <cellStyle name="Percentuale 46 5" xfId="1872" xr:uid="{00000000-0005-0000-0000-0000F80F0000}"/>
    <cellStyle name="Percentuale 47" xfId="400" xr:uid="{00000000-0005-0000-0000-0000F90F0000}"/>
    <cellStyle name="Percentuale 47 2" xfId="635" xr:uid="{00000000-0005-0000-0000-0000FA0F0000}"/>
    <cellStyle name="Percentuale 47 2 2" xfId="3150" xr:uid="{00000000-0005-0000-0000-0000FB0F0000}"/>
    <cellStyle name="Percentuale 47 3" xfId="1873" xr:uid="{00000000-0005-0000-0000-0000FC0F0000}"/>
    <cellStyle name="Percentuale 47 3 2" xfId="1874" xr:uid="{00000000-0005-0000-0000-0000FD0F0000}"/>
    <cellStyle name="Percentuale 47 3 2 2" xfId="4403" xr:uid="{00000000-0005-0000-0000-0000FE0F0000}"/>
    <cellStyle name="Percentuale 47 3 3" xfId="1875" xr:uid="{00000000-0005-0000-0000-0000FF0F0000}"/>
    <cellStyle name="Percentuale 47 3 3 2" xfId="3152" xr:uid="{00000000-0005-0000-0000-000000100000}"/>
    <cellStyle name="Percentuale 47 3 4" xfId="3151" xr:uid="{00000000-0005-0000-0000-000001100000}"/>
    <cellStyle name="Percentuale 47 4" xfId="1876" xr:uid="{00000000-0005-0000-0000-000002100000}"/>
    <cellStyle name="Percentuale 47 4 2" xfId="1877" xr:uid="{00000000-0005-0000-0000-000003100000}"/>
    <cellStyle name="Percentuale 47 4 2 2" xfId="3154" xr:uid="{00000000-0005-0000-0000-000004100000}"/>
    <cellStyle name="Percentuale 47 4 3" xfId="3153" xr:uid="{00000000-0005-0000-0000-000005100000}"/>
    <cellStyle name="Percentuale 47 5" xfId="1878" xr:uid="{00000000-0005-0000-0000-000006100000}"/>
    <cellStyle name="Percentuale 48" xfId="401" xr:uid="{00000000-0005-0000-0000-000007100000}"/>
    <cellStyle name="Percentuale 48 2" xfId="636" xr:uid="{00000000-0005-0000-0000-000008100000}"/>
    <cellStyle name="Percentuale 48 2 2" xfId="3155" xr:uid="{00000000-0005-0000-0000-000009100000}"/>
    <cellStyle name="Percentuale 48 3" xfId="1879" xr:uid="{00000000-0005-0000-0000-00000A100000}"/>
    <cellStyle name="Percentuale 48 3 2" xfId="1880" xr:uid="{00000000-0005-0000-0000-00000B100000}"/>
    <cellStyle name="Percentuale 48 3 2 2" xfId="4404" xr:uid="{00000000-0005-0000-0000-00000C100000}"/>
    <cellStyle name="Percentuale 48 3 3" xfId="1881" xr:uid="{00000000-0005-0000-0000-00000D100000}"/>
    <cellStyle name="Percentuale 48 3 3 2" xfId="3157" xr:uid="{00000000-0005-0000-0000-00000E100000}"/>
    <cellStyle name="Percentuale 48 3 4" xfId="3156" xr:uid="{00000000-0005-0000-0000-00000F100000}"/>
    <cellStyle name="Percentuale 48 4" xfId="1882" xr:uid="{00000000-0005-0000-0000-000010100000}"/>
    <cellStyle name="Percentuale 48 4 2" xfId="1883" xr:uid="{00000000-0005-0000-0000-000011100000}"/>
    <cellStyle name="Percentuale 48 4 2 2" xfId="3159" xr:uid="{00000000-0005-0000-0000-000012100000}"/>
    <cellStyle name="Percentuale 48 4 3" xfId="3158" xr:uid="{00000000-0005-0000-0000-000013100000}"/>
    <cellStyle name="Percentuale 48 5" xfId="1884" xr:uid="{00000000-0005-0000-0000-000014100000}"/>
    <cellStyle name="Percentuale 49" xfId="402" xr:uid="{00000000-0005-0000-0000-000015100000}"/>
    <cellStyle name="Percentuale 49 2" xfId="637" xr:uid="{00000000-0005-0000-0000-000016100000}"/>
    <cellStyle name="Percentuale 49 2 2" xfId="3160" xr:uid="{00000000-0005-0000-0000-000017100000}"/>
    <cellStyle name="Percentuale 49 3" xfId="1885" xr:uid="{00000000-0005-0000-0000-000018100000}"/>
    <cellStyle name="Percentuale 49 3 2" xfId="1886" xr:uid="{00000000-0005-0000-0000-000019100000}"/>
    <cellStyle name="Percentuale 49 3 2 2" xfId="4405" xr:uid="{00000000-0005-0000-0000-00001A100000}"/>
    <cellStyle name="Percentuale 49 3 3" xfId="1887" xr:uid="{00000000-0005-0000-0000-00001B100000}"/>
    <cellStyle name="Percentuale 49 3 3 2" xfId="3162" xr:uid="{00000000-0005-0000-0000-00001C100000}"/>
    <cellStyle name="Percentuale 49 3 4" xfId="3161" xr:uid="{00000000-0005-0000-0000-00001D100000}"/>
    <cellStyle name="Percentuale 49 4" xfId="1888" xr:uid="{00000000-0005-0000-0000-00001E100000}"/>
    <cellStyle name="Percentuale 49 4 2" xfId="1889" xr:uid="{00000000-0005-0000-0000-00001F100000}"/>
    <cellStyle name="Percentuale 49 4 2 2" xfId="3164" xr:uid="{00000000-0005-0000-0000-000020100000}"/>
    <cellStyle name="Percentuale 49 4 3" xfId="3163" xr:uid="{00000000-0005-0000-0000-000021100000}"/>
    <cellStyle name="Percentuale 49 5" xfId="1890" xr:uid="{00000000-0005-0000-0000-000022100000}"/>
    <cellStyle name="Percentuale 5" xfId="403" xr:uid="{00000000-0005-0000-0000-000023100000}"/>
    <cellStyle name="Percentuale 5 2" xfId="638" xr:uid="{00000000-0005-0000-0000-000024100000}"/>
    <cellStyle name="Percentuale 5 2 2" xfId="3165" xr:uid="{00000000-0005-0000-0000-000025100000}"/>
    <cellStyle name="Percentuale 5 3" xfId="1891" xr:uid="{00000000-0005-0000-0000-000026100000}"/>
    <cellStyle name="Percentuale 5 3 2" xfId="1892" xr:uid="{00000000-0005-0000-0000-000027100000}"/>
    <cellStyle name="Percentuale 5 3 2 2" xfId="4406" xr:uid="{00000000-0005-0000-0000-000028100000}"/>
    <cellStyle name="Percentuale 5 3 3" xfId="1893" xr:uid="{00000000-0005-0000-0000-000029100000}"/>
    <cellStyle name="Percentuale 5 3 3 2" xfId="3167" xr:uid="{00000000-0005-0000-0000-00002A100000}"/>
    <cellStyle name="Percentuale 5 3 4" xfId="3166" xr:uid="{00000000-0005-0000-0000-00002B100000}"/>
    <cellStyle name="Percentuale 5 4" xfId="1894" xr:uid="{00000000-0005-0000-0000-00002C100000}"/>
    <cellStyle name="Percentuale 5 4 2" xfId="1895" xr:uid="{00000000-0005-0000-0000-00002D100000}"/>
    <cellStyle name="Percentuale 5 4 2 2" xfId="3169" xr:uid="{00000000-0005-0000-0000-00002E100000}"/>
    <cellStyle name="Percentuale 5 4 3" xfId="3168" xr:uid="{00000000-0005-0000-0000-00002F100000}"/>
    <cellStyle name="Percentuale 5 5" xfId="1896" xr:uid="{00000000-0005-0000-0000-000030100000}"/>
    <cellStyle name="Percentuale 50" xfId="404" xr:uid="{00000000-0005-0000-0000-000031100000}"/>
    <cellStyle name="Percentuale 50 2" xfId="639" xr:uid="{00000000-0005-0000-0000-000032100000}"/>
    <cellStyle name="Percentuale 50 2 2" xfId="3170" xr:uid="{00000000-0005-0000-0000-000033100000}"/>
    <cellStyle name="Percentuale 50 3" xfId="1897" xr:uid="{00000000-0005-0000-0000-000034100000}"/>
    <cellStyle name="Percentuale 50 3 2" xfId="1898" xr:uid="{00000000-0005-0000-0000-000035100000}"/>
    <cellStyle name="Percentuale 50 3 2 2" xfId="4407" xr:uid="{00000000-0005-0000-0000-000036100000}"/>
    <cellStyle name="Percentuale 50 3 3" xfId="1899" xr:uid="{00000000-0005-0000-0000-000037100000}"/>
    <cellStyle name="Percentuale 50 3 3 2" xfId="3172" xr:uid="{00000000-0005-0000-0000-000038100000}"/>
    <cellStyle name="Percentuale 50 3 4" xfId="3171" xr:uid="{00000000-0005-0000-0000-000039100000}"/>
    <cellStyle name="Percentuale 50 4" xfId="1900" xr:uid="{00000000-0005-0000-0000-00003A100000}"/>
    <cellStyle name="Percentuale 50 4 2" xfId="1901" xr:uid="{00000000-0005-0000-0000-00003B100000}"/>
    <cellStyle name="Percentuale 50 4 2 2" xfId="3174" xr:uid="{00000000-0005-0000-0000-00003C100000}"/>
    <cellStyle name="Percentuale 50 4 3" xfId="3173" xr:uid="{00000000-0005-0000-0000-00003D100000}"/>
    <cellStyle name="Percentuale 50 5" xfId="1902" xr:uid="{00000000-0005-0000-0000-00003E100000}"/>
    <cellStyle name="Percentuale 51" xfId="405" xr:uid="{00000000-0005-0000-0000-00003F100000}"/>
    <cellStyle name="Percentuale 51 2" xfId="640" xr:uid="{00000000-0005-0000-0000-000040100000}"/>
    <cellStyle name="Percentuale 51 2 2" xfId="3175" xr:uid="{00000000-0005-0000-0000-000041100000}"/>
    <cellStyle name="Percentuale 51 3" xfId="1903" xr:uid="{00000000-0005-0000-0000-000042100000}"/>
    <cellStyle name="Percentuale 51 3 2" xfId="1904" xr:uid="{00000000-0005-0000-0000-000043100000}"/>
    <cellStyle name="Percentuale 51 3 2 2" xfId="4408" xr:uid="{00000000-0005-0000-0000-000044100000}"/>
    <cellStyle name="Percentuale 51 3 3" xfId="1905" xr:uid="{00000000-0005-0000-0000-000045100000}"/>
    <cellStyle name="Percentuale 51 3 3 2" xfId="3177" xr:uid="{00000000-0005-0000-0000-000046100000}"/>
    <cellStyle name="Percentuale 51 3 4" xfId="3176" xr:uid="{00000000-0005-0000-0000-000047100000}"/>
    <cellStyle name="Percentuale 51 4" xfId="1906" xr:uid="{00000000-0005-0000-0000-000048100000}"/>
    <cellStyle name="Percentuale 51 4 2" xfId="1907" xr:uid="{00000000-0005-0000-0000-000049100000}"/>
    <cellStyle name="Percentuale 51 4 2 2" xfId="3179" xr:uid="{00000000-0005-0000-0000-00004A100000}"/>
    <cellStyle name="Percentuale 51 4 3" xfId="3178" xr:uid="{00000000-0005-0000-0000-00004B100000}"/>
    <cellStyle name="Percentuale 51 5" xfId="1908" xr:uid="{00000000-0005-0000-0000-00004C100000}"/>
    <cellStyle name="Percentuale 52" xfId="406" xr:uid="{00000000-0005-0000-0000-00004D100000}"/>
    <cellStyle name="Percentuale 52 2" xfId="641" xr:uid="{00000000-0005-0000-0000-00004E100000}"/>
    <cellStyle name="Percentuale 52 2 2" xfId="3180" xr:uid="{00000000-0005-0000-0000-00004F100000}"/>
    <cellStyle name="Percentuale 52 3" xfId="1909" xr:uid="{00000000-0005-0000-0000-000050100000}"/>
    <cellStyle name="Percentuale 52 3 2" xfId="1910" xr:uid="{00000000-0005-0000-0000-000051100000}"/>
    <cellStyle name="Percentuale 52 3 2 2" xfId="4409" xr:uid="{00000000-0005-0000-0000-000052100000}"/>
    <cellStyle name="Percentuale 52 3 3" xfId="1911" xr:uid="{00000000-0005-0000-0000-000053100000}"/>
    <cellStyle name="Percentuale 52 3 3 2" xfId="3182" xr:uid="{00000000-0005-0000-0000-000054100000}"/>
    <cellStyle name="Percentuale 52 3 4" xfId="3181" xr:uid="{00000000-0005-0000-0000-000055100000}"/>
    <cellStyle name="Percentuale 52 4" xfId="1912" xr:uid="{00000000-0005-0000-0000-000056100000}"/>
    <cellStyle name="Percentuale 52 4 2" xfId="1913" xr:uid="{00000000-0005-0000-0000-000057100000}"/>
    <cellStyle name="Percentuale 52 4 2 2" xfId="3184" xr:uid="{00000000-0005-0000-0000-000058100000}"/>
    <cellStyle name="Percentuale 52 4 3" xfId="3183" xr:uid="{00000000-0005-0000-0000-000059100000}"/>
    <cellStyle name="Percentuale 52 5" xfId="1914" xr:uid="{00000000-0005-0000-0000-00005A100000}"/>
    <cellStyle name="Percentuale 53" xfId="407" xr:uid="{00000000-0005-0000-0000-00005B100000}"/>
    <cellStyle name="Percentuale 53 2" xfId="642" xr:uid="{00000000-0005-0000-0000-00005C100000}"/>
    <cellStyle name="Percentuale 53 2 2" xfId="3185" xr:uid="{00000000-0005-0000-0000-00005D100000}"/>
    <cellStyle name="Percentuale 53 3" xfId="1915" xr:uid="{00000000-0005-0000-0000-00005E100000}"/>
    <cellStyle name="Percentuale 53 3 2" xfId="1916" xr:uid="{00000000-0005-0000-0000-00005F100000}"/>
    <cellStyle name="Percentuale 53 3 2 2" xfId="4410" xr:uid="{00000000-0005-0000-0000-000060100000}"/>
    <cellStyle name="Percentuale 53 3 3" xfId="1917" xr:uid="{00000000-0005-0000-0000-000061100000}"/>
    <cellStyle name="Percentuale 53 3 3 2" xfId="3187" xr:uid="{00000000-0005-0000-0000-000062100000}"/>
    <cellStyle name="Percentuale 53 3 4" xfId="3186" xr:uid="{00000000-0005-0000-0000-000063100000}"/>
    <cellStyle name="Percentuale 53 4" xfId="1918" xr:uid="{00000000-0005-0000-0000-000064100000}"/>
    <cellStyle name="Percentuale 53 4 2" xfId="1919" xr:uid="{00000000-0005-0000-0000-000065100000}"/>
    <cellStyle name="Percentuale 53 4 2 2" xfId="3189" xr:uid="{00000000-0005-0000-0000-000066100000}"/>
    <cellStyle name="Percentuale 53 4 3" xfId="3188" xr:uid="{00000000-0005-0000-0000-000067100000}"/>
    <cellStyle name="Percentuale 53 5" xfId="1920" xr:uid="{00000000-0005-0000-0000-000068100000}"/>
    <cellStyle name="Percentuale 54" xfId="408" xr:uid="{00000000-0005-0000-0000-000069100000}"/>
    <cellStyle name="Percentuale 54 2" xfId="643" xr:uid="{00000000-0005-0000-0000-00006A100000}"/>
    <cellStyle name="Percentuale 54 2 2" xfId="3190" xr:uid="{00000000-0005-0000-0000-00006B100000}"/>
    <cellStyle name="Percentuale 54 3" xfId="1921" xr:uid="{00000000-0005-0000-0000-00006C100000}"/>
    <cellStyle name="Percentuale 54 3 2" xfId="1922" xr:uid="{00000000-0005-0000-0000-00006D100000}"/>
    <cellStyle name="Percentuale 54 3 2 2" xfId="4411" xr:uid="{00000000-0005-0000-0000-00006E100000}"/>
    <cellStyle name="Percentuale 54 3 3" xfId="1923" xr:uid="{00000000-0005-0000-0000-00006F100000}"/>
    <cellStyle name="Percentuale 54 3 3 2" xfId="3192" xr:uid="{00000000-0005-0000-0000-000070100000}"/>
    <cellStyle name="Percentuale 54 3 4" xfId="3191" xr:uid="{00000000-0005-0000-0000-000071100000}"/>
    <cellStyle name="Percentuale 54 4" xfId="1924" xr:uid="{00000000-0005-0000-0000-000072100000}"/>
    <cellStyle name="Percentuale 54 4 2" xfId="1925" xr:uid="{00000000-0005-0000-0000-000073100000}"/>
    <cellStyle name="Percentuale 54 4 2 2" xfId="3194" xr:uid="{00000000-0005-0000-0000-000074100000}"/>
    <cellStyle name="Percentuale 54 4 3" xfId="3193" xr:uid="{00000000-0005-0000-0000-000075100000}"/>
    <cellStyle name="Percentuale 54 5" xfId="1926" xr:uid="{00000000-0005-0000-0000-000076100000}"/>
    <cellStyle name="Percentuale 55" xfId="409" xr:uid="{00000000-0005-0000-0000-000077100000}"/>
    <cellStyle name="Percentuale 55 2" xfId="644" xr:uid="{00000000-0005-0000-0000-000078100000}"/>
    <cellStyle name="Percentuale 55 2 2" xfId="3195" xr:uid="{00000000-0005-0000-0000-000079100000}"/>
    <cellStyle name="Percentuale 55 3" xfId="1927" xr:uid="{00000000-0005-0000-0000-00007A100000}"/>
    <cellStyle name="Percentuale 55 3 2" xfId="1928" xr:uid="{00000000-0005-0000-0000-00007B100000}"/>
    <cellStyle name="Percentuale 55 3 2 2" xfId="4412" xr:uid="{00000000-0005-0000-0000-00007C100000}"/>
    <cellStyle name="Percentuale 55 3 3" xfId="1929" xr:uid="{00000000-0005-0000-0000-00007D100000}"/>
    <cellStyle name="Percentuale 55 3 3 2" xfId="3197" xr:uid="{00000000-0005-0000-0000-00007E100000}"/>
    <cellStyle name="Percentuale 55 3 4" xfId="3196" xr:uid="{00000000-0005-0000-0000-00007F100000}"/>
    <cellStyle name="Percentuale 55 4" xfId="1930" xr:uid="{00000000-0005-0000-0000-000080100000}"/>
    <cellStyle name="Percentuale 55 4 2" xfId="1931" xr:uid="{00000000-0005-0000-0000-000081100000}"/>
    <cellStyle name="Percentuale 55 4 2 2" xfId="3199" xr:uid="{00000000-0005-0000-0000-000082100000}"/>
    <cellStyle name="Percentuale 55 4 3" xfId="3198" xr:uid="{00000000-0005-0000-0000-000083100000}"/>
    <cellStyle name="Percentuale 55 5" xfId="1932" xr:uid="{00000000-0005-0000-0000-000084100000}"/>
    <cellStyle name="Percentuale 56" xfId="410" xr:uid="{00000000-0005-0000-0000-000085100000}"/>
    <cellStyle name="Percentuale 56 2" xfId="645" xr:uid="{00000000-0005-0000-0000-000086100000}"/>
    <cellStyle name="Percentuale 56 2 2" xfId="3200" xr:uid="{00000000-0005-0000-0000-000087100000}"/>
    <cellStyle name="Percentuale 56 3" xfId="1933" xr:uid="{00000000-0005-0000-0000-000088100000}"/>
    <cellStyle name="Percentuale 56 3 2" xfId="1934" xr:uid="{00000000-0005-0000-0000-000089100000}"/>
    <cellStyle name="Percentuale 56 3 2 2" xfId="4413" xr:uid="{00000000-0005-0000-0000-00008A100000}"/>
    <cellStyle name="Percentuale 56 3 3" xfId="1935" xr:uid="{00000000-0005-0000-0000-00008B100000}"/>
    <cellStyle name="Percentuale 56 3 3 2" xfId="3202" xr:uid="{00000000-0005-0000-0000-00008C100000}"/>
    <cellStyle name="Percentuale 56 3 4" xfId="3201" xr:uid="{00000000-0005-0000-0000-00008D100000}"/>
    <cellStyle name="Percentuale 56 4" xfId="1936" xr:uid="{00000000-0005-0000-0000-00008E100000}"/>
    <cellStyle name="Percentuale 56 4 2" xfId="1937" xr:uid="{00000000-0005-0000-0000-00008F100000}"/>
    <cellStyle name="Percentuale 56 4 2 2" xfId="3204" xr:uid="{00000000-0005-0000-0000-000090100000}"/>
    <cellStyle name="Percentuale 56 4 3" xfId="3203" xr:uid="{00000000-0005-0000-0000-000091100000}"/>
    <cellStyle name="Percentuale 56 5" xfId="1938" xr:uid="{00000000-0005-0000-0000-000092100000}"/>
    <cellStyle name="Percentuale 57" xfId="411" xr:uid="{00000000-0005-0000-0000-000093100000}"/>
    <cellStyle name="Percentuale 57 2" xfId="646" xr:uid="{00000000-0005-0000-0000-000094100000}"/>
    <cellStyle name="Percentuale 57 2 2" xfId="3205" xr:uid="{00000000-0005-0000-0000-000095100000}"/>
    <cellStyle name="Percentuale 57 3" xfId="1939" xr:uid="{00000000-0005-0000-0000-000096100000}"/>
    <cellStyle name="Percentuale 57 3 2" xfId="1940" xr:uid="{00000000-0005-0000-0000-000097100000}"/>
    <cellStyle name="Percentuale 57 3 2 2" xfId="4414" xr:uid="{00000000-0005-0000-0000-000098100000}"/>
    <cellStyle name="Percentuale 57 3 3" xfId="1941" xr:uid="{00000000-0005-0000-0000-000099100000}"/>
    <cellStyle name="Percentuale 57 3 3 2" xfId="3207" xr:uid="{00000000-0005-0000-0000-00009A100000}"/>
    <cellStyle name="Percentuale 57 3 4" xfId="3206" xr:uid="{00000000-0005-0000-0000-00009B100000}"/>
    <cellStyle name="Percentuale 57 4" xfId="1942" xr:uid="{00000000-0005-0000-0000-00009C100000}"/>
    <cellStyle name="Percentuale 57 4 2" xfId="1943" xr:uid="{00000000-0005-0000-0000-00009D100000}"/>
    <cellStyle name="Percentuale 57 4 2 2" xfId="3209" xr:uid="{00000000-0005-0000-0000-00009E100000}"/>
    <cellStyle name="Percentuale 57 4 3" xfId="3208" xr:uid="{00000000-0005-0000-0000-00009F100000}"/>
    <cellStyle name="Percentuale 57 5" xfId="1944" xr:uid="{00000000-0005-0000-0000-0000A0100000}"/>
    <cellStyle name="Percentuale 58" xfId="412" xr:uid="{00000000-0005-0000-0000-0000A1100000}"/>
    <cellStyle name="Percentuale 58 2" xfId="647" xr:uid="{00000000-0005-0000-0000-0000A2100000}"/>
    <cellStyle name="Percentuale 58 2 2" xfId="3210" xr:uid="{00000000-0005-0000-0000-0000A3100000}"/>
    <cellStyle name="Percentuale 58 3" xfId="1945" xr:uid="{00000000-0005-0000-0000-0000A4100000}"/>
    <cellStyle name="Percentuale 58 3 2" xfId="1946" xr:uid="{00000000-0005-0000-0000-0000A5100000}"/>
    <cellStyle name="Percentuale 58 3 2 2" xfId="4415" xr:uid="{00000000-0005-0000-0000-0000A6100000}"/>
    <cellStyle name="Percentuale 58 3 3" xfId="1947" xr:uid="{00000000-0005-0000-0000-0000A7100000}"/>
    <cellStyle name="Percentuale 58 3 3 2" xfId="3212" xr:uid="{00000000-0005-0000-0000-0000A8100000}"/>
    <cellStyle name="Percentuale 58 3 4" xfId="3211" xr:uid="{00000000-0005-0000-0000-0000A9100000}"/>
    <cellStyle name="Percentuale 58 4" xfId="1948" xr:uid="{00000000-0005-0000-0000-0000AA100000}"/>
    <cellStyle name="Percentuale 58 4 2" xfId="1949" xr:uid="{00000000-0005-0000-0000-0000AB100000}"/>
    <cellStyle name="Percentuale 58 4 2 2" xfId="3214" xr:uid="{00000000-0005-0000-0000-0000AC100000}"/>
    <cellStyle name="Percentuale 58 4 3" xfId="3213" xr:uid="{00000000-0005-0000-0000-0000AD100000}"/>
    <cellStyle name="Percentuale 58 5" xfId="1950" xr:uid="{00000000-0005-0000-0000-0000AE100000}"/>
    <cellStyle name="Percentuale 59" xfId="413" xr:uid="{00000000-0005-0000-0000-0000AF100000}"/>
    <cellStyle name="Percentuale 59 2" xfId="648" xr:uid="{00000000-0005-0000-0000-0000B0100000}"/>
    <cellStyle name="Percentuale 59 2 2" xfId="3215" xr:uid="{00000000-0005-0000-0000-0000B1100000}"/>
    <cellStyle name="Percentuale 59 3" xfId="1951" xr:uid="{00000000-0005-0000-0000-0000B2100000}"/>
    <cellStyle name="Percentuale 59 3 2" xfId="1952" xr:uid="{00000000-0005-0000-0000-0000B3100000}"/>
    <cellStyle name="Percentuale 59 3 2 2" xfId="4416" xr:uid="{00000000-0005-0000-0000-0000B4100000}"/>
    <cellStyle name="Percentuale 59 3 3" xfId="1953" xr:uid="{00000000-0005-0000-0000-0000B5100000}"/>
    <cellStyle name="Percentuale 59 3 3 2" xfId="3217" xr:uid="{00000000-0005-0000-0000-0000B6100000}"/>
    <cellStyle name="Percentuale 59 3 4" xfId="3216" xr:uid="{00000000-0005-0000-0000-0000B7100000}"/>
    <cellStyle name="Percentuale 59 4" xfId="1954" xr:uid="{00000000-0005-0000-0000-0000B8100000}"/>
    <cellStyle name="Percentuale 59 4 2" xfId="1955" xr:uid="{00000000-0005-0000-0000-0000B9100000}"/>
    <cellStyle name="Percentuale 59 4 2 2" xfId="3219" xr:uid="{00000000-0005-0000-0000-0000BA100000}"/>
    <cellStyle name="Percentuale 59 4 3" xfId="3218" xr:uid="{00000000-0005-0000-0000-0000BB100000}"/>
    <cellStyle name="Percentuale 59 5" xfId="1956" xr:uid="{00000000-0005-0000-0000-0000BC100000}"/>
    <cellStyle name="Percentuale 6" xfId="414" xr:uid="{00000000-0005-0000-0000-0000BD100000}"/>
    <cellStyle name="Percentuale 6 2" xfId="649" xr:uid="{00000000-0005-0000-0000-0000BE100000}"/>
    <cellStyle name="Percentuale 6 2 2" xfId="3220" xr:uid="{00000000-0005-0000-0000-0000BF100000}"/>
    <cellStyle name="Percentuale 6 3" xfId="1957" xr:uid="{00000000-0005-0000-0000-0000C0100000}"/>
    <cellStyle name="Percentuale 6 3 2" xfId="1958" xr:uid="{00000000-0005-0000-0000-0000C1100000}"/>
    <cellStyle name="Percentuale 6 3 2 2" xfId="4417" xr:uid="{00000000-0005-0000-0000-0000C2100000}"/>
    <cellStyle name="Percentuale 6 3 3" xfId="1959" xr:uid="{00000000-0005-0000-0000-0000C3100000}"/>
    <cellStyle name="Percentuale 6 3 3 2" xfId="3222" xr:uid="{00000000-0005-0000-0000-0000C4100000}"/>
    <cellStyle name="Percentuale 6 3 4" xfId="3221" xr:uid="{00000000-0005-0000-0000-0000C5100000}"/>
    <cellStyle name="Percentuale 6 4" xfId="1960" xr:uid="{00000000-0005-0000-0000-0000C6100000}"/>
    <cellStyle name="Percentuale 6 4 2" xfId="1961" xr:uid="{00000000-0005-0000-0000-0000C7100000}"/>
    <cellStyle name="Percentuale 6 4 2 2" xfId="3224" xr:uid="{00000000-0005-0000-0000-0000C8100000}"/>
    <cellStyle name="Percentuale 6 4 3" xfId="3223" xr:uid="{00000000-0005-0000-0000-0000C9100000}"/>
    <cellStyle name="Percentuale 6 5" xfId="1962" xr:uid="{00000000-0005-0000-0000-0000CA100000}"/>
    <cellStyle name="Percentuale 60" xfId="415" xr:uid="{00000000-0005-0000-0000-0000CB100000}"/>
    <cellStyle name="Percentuale 60 2" xfId="650" xr:uid="{00000000-0005-0000-0000-0000CC100000}"/>
    <cellStyle name="Percentuale 60 2 2" xfId="3225" xr:uid="{00000000-0005-0000-0000-0000CD100000}"/>
    <cellStyle name="Percentuale 60 3" xfId="1963" xr:uid="{00000000-0005-0000-0000-0000CE100000}"/>
    <cellStyle name="Percentuale 60 3 2" xfId="1964" xr:uid="{00000000-0005-0000-0000-0000CF100000}"/>
    <cellStyle name="Percentuale 60 3 2 2" xfId="4418" xr:uid="{00000000-0005-0000-0000-0000D0100000}"/>
    <cellStyle name="Percentuale 60 3 3" xfId="1965" xr:uid="{00000000-0005-0000-0000-0000D1100000}"/>
    <cellStyle name="Percentuale 60 3 3 2" xfId="3227" xr:uid="{00000000-0005-0000-0000-0000D2100000}"/>
    <cellStyle name="Percentuale 60 3 4" xfId="3226" xr:uid="{00000000-0005-0000-0000-0000D3100000}"/>
    <cellStyle name="Percentuale 60 4" xfId="1966" xr:uid="{00000000-0005-0000-0000-0000D4100000}"/>
    <cellStyle name="Percentuale 60 4 2" xfId="1967" xr:uid="{00000000-0005-0000-0000-0000D5100000}"/>
    <cellStyle name="Percentuale 60 4 2 2" xfId="3229" xr:uid="{00000000-0005-0000-0000-0000D6100000}"/>
    <cellStyle name="Percentuale 60 4 3" xfId="3228" xr:uid="{00000000-0005-0000-0000-0000D7100000}"/>
    <cellStyle name="Percentuale 60 5" xfId="1968" xr:uid="{00000000-0005-0000-0000-0000D8100000}"/>
    <cellStyle name="Percentuale 61" xfId="416" xr:uid="{00000000-0005-0000-0000-0000D9100000}"/>
    <cellStyle name="Percentuale 61 2" xfId="651" xr:uid="{00000000-0005-0000-0000-0000DA100000}"/>
    <cellStyle name="Percentuale 61 2 2" xfId="3230" xr:uid="{00000000-0005-0000-0000-0000DB100000}"/>
    <cellStyle name="Percentuale 61 3" xfId="1969" xr:uid="{00000000-0005-0000-0000-0000DC100000}"/>
    <cellStyle name="Percentuale 61 3 2" xfId="1970" xr:uid="{00000000-0005-0000-0000-0000DD100000}"/>
    <cellStyle name="Percentuale 61 3 2 2" xfId="4419" xr:uid="{00000000-0005-0000-0000-0000DE100000}"/>
    <cellStyle name="Percentuale 61 3 3" xfId="1971" xr:uid="{00000000-0005-0000-0000-0000DF100000}"/>
    <cellStyle name="Percentuale 61 3 3 2" xfId="3232" xr:uid="{00000000-0005-0000-0000-0000E0100000}"/>
    <cellStyle name="Percentuale 61 3 4" xfId="3231" xr:uid="{00000000-0005-0000-0000-0000E1100000}"/>
    <cellStyle name="Percentuale 61 4" xfId="1972" xr:uid="{00000000-0005-0000-0000-0000E2100000}"/>
    <cellStyle name="Percentuale 61 4 2" xfId="1973" xr:uid="{00000000-0005-0000-0000-0000E3100000}"/>
    <cellStyle name="Percentuale 61 4 2 2" xfId="3234" xr:uid="{00000000-0005-0000-0000-0000E4100000}"/>
    <cellStyle name="Percentuale 61 4 3" xfId="3233" xr:uid="{00000000-0005-0000-0000-0000E5100000}"/>
    <cellStyle name="Percentuale 61 5" xfId="1974" xr:uid="{00000000-0005-0000-0000-0000E6100000}"/>
    <cellStyle name="Percentuale 62" xfId="417" xr:uid="{00000000-0005-0000-0000-0000E7100000}"/>
    <cellStyle name="Percentuale 62 2" xfId="3235" xr:uid="{00000000-0005-0000-0000-0000E8100000}"/>
    <cellStyle name="Percentuale 63" xfId="418" xr:uid="{00000000-0005-0000-0000-0000E9100000}"/>
    <cellStyle name="Percentuale 63 2" xfId="3236" xr:uid="{00000000-0005-0000-0000-0000EA100000}"/>
    <cellStyle name="Percentuale 64" xfId="419" xr:uid="{00000000-0005-0000-0000-0000EB100000}"/>
    <cellStyle name="Percentuale 64 2" xfId="3237" xr:uid="{00000000-0005-0000-0000-0000EC100000}"/>
    <cellStyle name="Percentuale 65" xfId="420" xr:uid="{00000000-0005-0000-0000-0000ED100000}"/>
    <cellStyle name="Percentuale 65 2" xfId="3238" xr:uid="{00000000-0005-0000-0000-0000EE100000}"/>
    <cellStyle name="Percentuale 66" xfId="421" xr:uid="{00000000-0005-0000-0000-0000EF100000}"/>
    <cellStyle name="Percentuale 66 2" xfId="3239" xr:uid="{00000000-0005-0000-0000-0000F0100000}"/>
    <cellStyle name="Percentuale 67" xfId="422" xr:uid="{00000000-0005-0000-0000-0000F1100000}"/>
    <cellStyle name="Percentuale 67 2" xfId="3240" xr:uid="{00000000-0005-0000-0000-0000F2100000}"/>
    <cellStyle name="Percentuale 68" xfId="423" xr:uid="{00000000-0005-0000-0000-0000F3100000}"/>
    <cellStyle name="Percentuale 68 2" xfId="652" xr:uid="{00000000-0005-0000-0000-0000F4100000}"/>
    <cellStyle name="Percentuale 68 2 2" xfId="3241" xr:uid="{00000000-0005-0000-0000-0000F5100000}"/>
    <cellStyle name="Percentuale 68 3" xfId="1975" xr:uid="{00000000-0005-0000-0000-0000F6100000}"/>
    <cellStyle name="Percentuale 68 3 2" xfId="1976" xr:uid="{00000000-0005-0000-0000-0000F7100000}"/>
    <cellStyle name="Percentuale 68 3 2 2" xfId="4420" xr:uid="{00000000-0005-0000-0000-0000F8100000}"/>
    <cellStyle name="Percentuale 68 3 3" xfId="1977" xr:uid="{00000000-0005-0000-0000-0000F9100000}"/>
    <cellStyle name="Percentuale 68 3 3 2" xfId="3243" xr:uid="{00000000-0005-0000-0000-0000FA100000}"/>
    <cellStyle name="Percentuale 68 3 4" xfId="3242" xr:uid="{00000000-0005-0000-0000-0000FB100000}"/>
    <cellStyle name="Percentuale 68 4" xfId="1978" xr:uid="{00000000-0005-0000-0000-0000FC100000}"/>
    <cellStyle name="Percentuale 68 4 2" xfId="1979" xr:uid="{00000000-0005-0000-0000-0000FD100000}"/>
    <cellStyle name="Percentuale 68 4 2 2" xfId="3245" xr:uid="{00000000-0005-0000-0000-0000FE100000}"/>
    <cellStyle name="Percentuale 68 4 3" xfId="3244" xr:uid="{00000000-0005-0000-0000-0000FF100000}"/>
    <cellStyle name="Percentuale 68 5" xfId="1980" xr:uid="{00000000-0005-0000-0000-000000110000}"/>
    <cellStyle name="Percentuale 69" xfId="424" xr:uid="{00000000-0005-0000-0000-000001110000}"/>
    <cellStyle name="Percentuale 69 2" xfId="653" xr:uid="{00000000-0005-0000-0000-000002110000}"/>
    <cellStyle name="Percentuale 69 2 2" xfId="3246" xr:uid="{00000000-0005-0000-0000-000003110000}"/>
    <cellStyle name="Percentuale 69 3" xfId="1981" xr:uid="{00000000-0005-0000-0000-000004110000}"/>
    <cellStyle name="Percentuale 69 3 2" xfId="1982" xr:uid="{00000000-0005-0000-0000-000005110000}"/>
    <cellStyle name="Percentuale 69 3 2 2" xfId="4421" xr:uid="{00000000-0005-0000-0000-000006110000}"/>
    <cellStyle name="Percentuale 69 3 3" xfId="1983" xr:uid="{00000000-0005-0000-0000-000007110000}"/>
    <cellStyle name="Percentuale 69 3 3 2" xfId="3248" xr:uid="{00000000-0005-0000-0000-000008110000}"/>
    <cellStyle name="Percentuale 69 3 4" xfId="3247" xr:uid="{00000000-0005-0000-0000-000009110000}"/>
    <cellStyle name="Percentuale 69 4" xfId="1984" xr:uid="{00000000-0005-0000-0000-00000A110000}"/>
    <cellStyle name="Percentuale 69 4 2" xfId="1985" xr:uid="{00000000-0005-0000-0000-00000B110000}"/>
    <cellStyle name="Percentuale 69 4 2 2" xfId="3250" xr:uid="{00000000-0005-0000-0000-00000C110000}"/>
    <cellStyle name="Percentuale 69 4 3" xfId="3249" xr:uid="{00000000-0005-0000-0000-00000D110000}"/>
    <cellStyle name="Percentuale 69 5" xfId="1986" xr:uid="{00000000-0005-0000-0000-00000E110000}"/>
    <cellStyle name="Percentuale 7" xfId="425" xr:uid="{00000000-0005-0000-0000-00000F110000}"/>
    <cellStyle name="Percentuale 7 2" xfId="654" xr:uid="{00000000-0005-0000-0000-000010110000}"/>
    <cellStyle name="Percentuale 7 2 2" xfId="3251" xr:uid="{00000000-0005-0000-0000-000011110000}"/>
    <cellStyle name="Percentuale 7 3" xfId="1987" xr:uid="{00000000-0005-0000-0000-000012110000}"/>
    <cellStyle name="Percentuale 7 3 2" xfId="1988" xr:uid="{00000000-0005-0000-0000-000013110000}"/>
    <cellStyle name="Percentuale 7 3 2 2" xfId="4422" xr:uid="{00000000-0005-0000-0000-000014110000}"/>
    <cellStyle name="Percentuale 7 3 3" xfId="1989" xr:uid="{00000000-0005-0000-0000-000015110000}"/>
    <cellStyle name="Percentuale 7 3 3 2" xfId="3253" xr:uid="{00000000-0005-0000-0000-000016110000}"/>
    <cellStyle name="Percentuale 7 3 4" xfId="3252" xr:uid="{00000000-0005-0000-0000-000017110000}"/>
    <cellStyle name="Percentuale 7 4" xfId="1990" xr:uid="{00000000-0005-0000-0000-000018110000}"/>
    <cellStyle name="Percentuale 7 4 2" xfId="1991" xr:uid="{00000000-0005-0000-0000-000019110000}"/>
    <cellStyle name="Percentuale 7 4 2 2" xfId="3255" xr:uid="{00000000-0005-0000-0000-00001A110000}"/>
    <cellStyle name="Percentuale 7 4 3" xfId="3254" xr:uid="{00000000-0005-0000-0000-00001B110000}"/>
    <cellStyle name="Percentuale 7 5" xfId="1992" xr:uid="{00000000-0005-0000-0000-00001C110000}"/>
    <cellStyle name="Percentuale 8" xfId="426" xr:uid="{00000000-0005-0000-0000-00001D110000}"/>
    <cellStyle name="Percentuale 8 2" xfId="655" xr:uid="{00000000-0005-0000-0000-00001E110000}"/>
    <cellStyle name="Percentuale 8 2 2" xfId="3256" xr:uid="{00000000-0005-0000-0000-00001F110000}"/>
    <cellStyle name="Percentuale 8 3" xfId="1993" xr:uid="{00000000-0005-0000-0000-000020110000}"/>
    <cellStyle name="Percentuale 8 3 2" xfId="1994" xr:uid="{00000000-0005-0000-0000-000021110000}"/>
    <cellStyle name="Percentuale 8 3 2 2" xfId="4423" xr:uid="{00000000-0005-0000-0000-000022110000}"/>
    <cellStyle name="Percentuale 8 3 3" xfId="1995" xr:uid="{00000000-0005-0000-0000-000023110000}"/>
    <cellStyle name="Percentuale 8 3 3 2" xfId="3258" xr:uid="{00000000-0005-0000-0000-000024110000}"/>
    <cellStyle name="Percentuale 8 3 4" xfId="3257" xr:uid="{00000000-0005-0000-0000-000025110000}"/>
    <cellStyle name="Percentuale 8 4" xfId="1996" xr:uid="{00000000-0005-0000-0000-000026110000}"/>
    <cellStyle name="Percentuale 8 4 2" xfId="1997" xr:uid="{00000000-0005-0000-0000-000027110000}"/>
    <cellStyle name="Percentuale 8 4 2 2" xfId="3260" xr:uid="{00000000-0005-0000-0000-000028110000}"/>
    <cellStyle name="Percentuale 8 4 3" xfId="3259" xr:uid="{00000000-0005-0000-0000-000029110000}"/>
    <cellStyle name="Percentuale 8 5" xfId="1998" xr:uid="{00000000-0005-0000-0000-00002A110000}"/>
    <cellStyle name="Percentuale 9" xfId="427" xr:uid="{00000000-0005-0000-0000-00002B110000}"/>
    <cellStyle name="Percentuale 9 2" xfId="656" xr:uid="{00000000-0005-0000-0000-00002C110000}"/>
    <cellStyle name="Percentuale 9 2 2" xfId="3261" xr:uid="{00000000-0005-0000-0000-00002D110000}"/>
    <cellStyle name="Percentuale 9 3" xfId="1999" xr:uid="{00000000-0005-0000-0000-00002E110000}"/>
    <cellStyle name="Percentuale 9 3 2" xfId="2000" xr:uid="{00000000-0005-0000-0000-00002F110000}"/>
    <cellStyle name="Percentuale 9 3 2 2" xfId="4424" xr:uid="{00000000-0005-0000-0000-000030110000}"/>
    <cellStyle name="Percentuale 9 3 3" xfId="2001" xr:uid="{00000000-0005-0000-0000-000031110000}"/>
    <cellStyle name="Percentuale 9 3 3 2" xfId="3263" xr:uid="{00000000-0005-0000-0000-000032110000}"/>
    <cellStyle name="Percentuale 9 3 4" xfId="3262" xr:uid="{00000000-0005-0000-0000-000033110000}"/>
    <cellStyle name="Percentuale 9 4" xfId="2002" xr:uid="{00000000-0005-0000-0000-000034110000}"/>
    <cellStyle name="Percentuale 9 4 2" xfId="2003" xr:uid="{00000000-0005-0000-0000-000035110000}"/>
    <cellStyle name="Percentuale 9 4 2 2" xfId="3265" xr:uid="{00000000-0005-0000-0000-000036110000}"/>
    <cellStyle name="Percentuale 9 4 3" xfId="3264" xr:uid="{00000000-0005-0000-0000-000037110000}"/>
    <cellStyle name="Percentuale 9 5" xfId="2004" xr:uid="{00000000-0005-0000-0000-000038110000}"/>
    <cellStyle name="Procent 2" xfId="438" xr:uid="{00000000-0005-0000-0000-000039110000}"/>
    <cellStyle name="Procent 2 2" xfId="3266" xr:uid="{00000000-0005-0000-0000-00003A110000}"/>
    <cellStyle name="Procent 2 2 2" xfId="4425" xr:uid="{00000000-0005-0000-0000-00003B110000}"/>
    <cellStyle name="Procent 2 2 3" xfId="4426" xr:uid="{00000000-0005-0000-0000-00003C110000}"/>
    <cellStyle name="Procent 3" xfId="2005" xr:uid="{00000000-0005-0000-0000-00003D110000}"/>
    <cellStyle name="Procent 3 2" xfId="2006" xr:uid="{00000000-0005-0000-0000-00003E110000}"/>
    <cellStyle name="Procent 3 2 2" xfId="4427" xr:uid="{00000000-0005-0000-0000-00003F110000}"/>
    <cellStyle name="Procent 3 3" xfId="4428" xr:uid="{00000000-0005-0000-0000-000040110000}"/>
    <cellStyle name="Procent 4" xfId="2007" xr:uid="{00000000-0005-0000-0000-000041110000}"/>
    <cellStyle name="Procent 4 2" xfId="3267" xr:uid="{00000000-0005-0000-0000-000042110000}"/>
    <cellStyle name="Standard_Sce_D_Extraction" xfId="2008" xr:uid="{00000000-0005-0000-0000-000043110000}"/>
    <cellStyle name="Style 155" xfId="4429" xr:uid="{00000000-0005-0000-0000-000044110000}"/>
    <cellStyle name="Style 156" xfId="4430" xr:uid="{00000000-0005-0000-0000-000045110000}"/>
    <cellStyle name="Style 157" xfId="4431" xr:uid="{00000000-0005-0000-0000-000046110000}"/>
    <cellStyle name="Style 158" xfId="4432" xr:uid="{00000000-0005-0000-0000-000047110000}"/>
    <cellStyle name="Style 159" xfId="4433" xr:uid="{00000000-0005-0000-0000-000048110000}"/>
    <cellStyle name="Style 161" xfId="4434" xr:uid="{00000000-0005-0000-0000-000049110000}"/>
    <cellStyle name="Style 162" xfId="4435" xr:uid="{00000000-0005-0000-0000-00004A110000}"/>
    <cellStyle name="Style 163" xfId="4436" xr:uid="{00000000-0005-0000-0000-00004B110000}"/>
    <cellStyle name="Style 223" xfId="4437" xr:uid="{00000000-0005-0000-0000-00004C110000}"/>
    <cellStyle name="Style 224" xfId="4438" xr:uid="{00000000-0005-0000-0000-00004D110000}"/>
    <cellStyle name="Style 225" xfId="4439" xr:uid="{00000000-0005-0000-0000-00004E110000}"/>
    <cellStyle name="Style 226" xfId="4440" xr:uid="{00000000-0005-0000-0000-00004F110000}"/>
    <cellStyle name="Style 227" xfId="4441" xr:uid="{00000000-0005-0000-0000-000050110000}"/>
    <cellStyle name="Style 229" xfId="4442" xr:uid="{00000000-0005-0000-0000-000051110000}"/>
    <cellStyle name="Style 230" xfId="4443" xr:uid="{00000000-0005-0000-0000-000052110000}"/>
    <cellStyle name="Style 231" xfId="4444" xr:uid="{00000000-0005-0000-0000-000053110000}"/>
    <cellStyle name="Style 257" xfId="4445" xr:uid="{00000000-0005-0000-0000-000054110000}"/>
    <cellStyle name="Style 258" xfId="4446" xr:uid="{00000000-0005-0000-0000-000055110000}"/>
    <cellStyle name="Style 259" xfId="4447" xr:uid="{00000000-0005-0000-0000-000056110000}"/>
    <cellStyle name="Style 260" xfId="4448" xr:uid="{00000000-0005-0000-0000-000057110000}"/>
    <cellStyle name="Style 261" xfId="4449" xr:uid="{00000000-0005-0000-0000-000058110000}"/>
    <cellStyle name="Style 263" xfId="4450" xr:uid="{00000000-0005-0000-0000-000059110000}"/>
    <cellStyle name="Style 264" xfId="4451" xr:uid="{00000000-0005-0000-0000-00005A110000}"/>
    <cellStyle name="Style 265" xfId="4452" xr:uid="{00000000-0005-0000-0000-00005B110000}"/>
    <cellStyle name="Style 461" xfId="4453" xr:uid="{00000000-0005-0000-0000-00005C110000}"/>
    <cellStyle name="Style 467" xfId="4454" xr:uid="{00000000-0005-0000-0000-00005D110000}"/>
    <cellStyle name="Style 468" xfId="4455" xr:uid="{00000000-0005-0000-0000-00005E110000}"/>
    <cellStyle name="Style 469" xfId="4456" xr:uid="{00000000-0005-0000-0000-00005F110000}"/>
    <cellStyle name="Style 478" xfId="4457" xr:uid="{00000000-0005-0000-0000-000060110000}"/>
    <cellStyle name="Style 479" xfId="4458" xr:uid="{00000000-0005-0000-0000-000061110000}"/>
    <cellStyle name="Style 480" xfId="4459" xr:uid="{00000000-0005-0000-0000-000062110000}"/>
    <cellStyle name="Style 481" xfId="4460" xr:uid="{00000000-0005-0000-0000-000063110000}"/>
    <cellStyle name="Style 482" xfId="4461" xr:uid="{00000000-0005-0000-0000-000064110000}"/>
    <cellStyle name="Style 484" xfId="4462" xr:uid="{00000000-0005-0000-0000-000065110000}"/>
    <cellStyle name="Style 485" xfId="4463" xr:uid="{00000000-0005-0000-0000-000066110000}"/>
    <cellStyle name="Style 486" xfId="4464" xr:uid="{00000000-0005-0000-0000-000067110000}"/>
    <cellStyle name="Style 495" xfId="4465" xr:uid="{00000000-0005-0000-0000-000068110000}"/>
    <cellStyle name="Style 496" xfId="4466" xr:uid="{00000000-0005-0000-0000-000069110000}"/>
    <cellStyle name="Style 497" xfId="4467" xr:uid="{00000000-0005-0000-0000-00006A110000}"/>
    <cellStyle name="Style 498" xfId="4468" xr:uid="{00000000-0005-0000-0000-00006B110000}"/>
    <cellStyle name="Style 499" xfId="4469" xr:uid="{00000000-0005-0000-0000-00006C110000}"/>
    <cellStyle name="Style 501" xfId="4470" xr:uid="{00000000-0005-0000-0000-00006D110000}"/>
    <cellStyle name="Style 502" xfId="4471" xr:uid="{00000000-0005-0000-0000-00006E110000}"/>
    <cellStyle name="Style 503" xfId="4472" xr:uid="{00000000-0005-0000-0000-00006F110000}"/>
    <cellStyle name="Style 580" xfId="4473" xr:uid="{00000000-0005-0000-0000-000070110000}"/>
    <cellStyle name="Style 581" xfId="4474" xr:uid="{00000000-0005-0000-0000-000071110000}"/>
    <cellStyle name="Style 582" xfId="4475" xr:uid="{00000000-0005-0000-0000-000072110000}"/>
    <cellStyle name="Style 583" xfId="4476" xr:uid="{00000000-0005-0000-0000-000073110000}"/>
    <cellStyle name="Style 584" xfId="4477" xr:uid="{00000000-0005-0000-0000-000074110000}"/>
    <cellStyle name="Style 586" xfId="4478" xr:uid="{00000000-0005-0000-0000-000075110000}"/>
    <cellStyle name="Style 587" xfId="4479" xr:uid="{00000000-0005-0000-0000-000076110000}"/>
    <cellStyle name="Style 588" xfId="4480" xr:uid="{00000000-0005-0000-0000-000077110000}"/>
    <cellStyle name="Testo avviso" xfId="428" xr:uid="{00000000-0005-0000-0000-000078110000}"/>
    <cellStyle name="Testo descrittivo" xfId="429" xr:uid="{00000000-0005-0000-0000-000079110000}"/>
    <cellStyle name="Titolo" xfId="430" xr:uid="{00000000-0005-0000-0000-00007A110000}"/>
    <cellStyle name="Titolo 1" xfId="431" xr:uid="{00000000-0005-0000-0000-00007B110000}"/>
    <cellStyle name="Titolo 1 2" xfId="4481" xr:uid="{00000000-0005-0000-0000-00007C110000}"/>
    <cellStyle name="Titolo 2" xfId="432" xr:uid="{00000000-0005-0000-0000-00007D110000}"/>
    <cellStyle name="Titolo 2 2" xfId="4482" xr:uid="{00000000-0005-0000-0000-00007E110000}"/>
    <cellStyle name="Titolo 3" xfId="433" xr:uid="{00000000-0005-0000-0000-00007F110000}"/>
    <cellStyle name="Titolo 3 2" xfId="4483" xr:uid="{00000000-0005-0000-0000-000080110000}"/>
    <cellStyle name="Titolo 4" xfId="434" xr:uid="{00000000-0005-0000-0000-000081110000}"/>
    <cellStyle name="Total 2" xfId="444" xr:uid="{00000000-0005-0000-0000-000082110000}"/>
    <cellStyle name="Total 2 2" xfId="4484" xr:uid="{00000000-0005-0000-0000-000083110000}"/>
    <cellStyle name="Totale" xfId="435" xr:uid="{00000000-0005-0000-0000-000084110000}"/>
    <cellStyle name="Totale 2" xfId="4485" xr:uid="{00000000-0005-0000-0000-000085110000}"/>
    <cellStyle name="Totale 2 2" xfId="4486" xr:uid="{00000000-0005-0000-0000-000086110000}"/>
    <cellStyle name="Totale 3" xfId="4487" xr:uid="{00000000-0005-0000-0000-000087110000}"/>
    <cellStyle name="Totale 3 2" xfId="4488" xr:uid="{00000000-0005-0000-0000-000088110000}"/>
    <cellStyle name="Totale 4" xfId="4489" xr:uid="{00000000-0005-0000-0000-000089110000}"/>
    <cellStyle name="Uncertain" xfId="2009" xr:uid="{00000000-0005-0000-0000-00008A110000}"/>
    <cellStyle name="Valore non valido" xfId="436" xr:uid="{00000000-0005-0000-0000-00008B110000}"/>
    <cellStyle name="Valore valido" xfId="12" xr:uid="{00000000-0005-0000-0000-00008C110000}"/>
    <cellStyle name="Years" xfId="2010" xr:uid="{00000000-0005-0000-0000-00008D110000}"/>
    <cellStyle name="Обычный_CRF2002 (1)" xfId="2011" xr:uid="{00000000-0005-0000-0000-00008E110000}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7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3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externalLink" Target="externalLinks/externalLink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a-DK"/>
              <a:t>Brændselspriser (kr./GJ) og kvotepriser (kr./ton)</a:t>
            </a:r>
          </a:p>
        </c:rich>
      </c:tx>
      <c:overlay val="1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520844269466301"/>
          <c:y val="0.13451079031787699"/>
          <c:w val="0.75798622047244102"/>
          <c:h val="0.627104476523768"/>
        </c:manualLayout>
      </c:layout>
      <c:lineChart>
        <c:grouping val="standard"/>
        <c:varyColors val="0"/>
        <c:ser>
          <c:idx val="0"/>
          <c:order val="0"/>
          <c:tx>
            <c:v>Kul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FuelPriceRAMSES!$B$33:$B$58</c:f>
              <c:numCache>
                <c:formatCode>0.00</c:formatCode>
                <c:ptCount val="26"/>
                <c:pt idx="0">
                  <c:v>15.0371929824561</c:v>
                </c:pt>
                <c:pt idx="1">
                  <c:v>15.2263157894737</c:v>
                </c:pt>
                <c:pt idx="2">
                  <c:v>15.4154385964912</c:v>
                </c:pt>
                <c:pt idx="3">
                  <c:v>15.6045614035088</c:v>
                </c:pt>
                <c:pt idx="4">
                  <c:v>15.793684210526299</c:v>
                </c:pt>
                <c:pt idx="5">
                  <c:v>15.9828070175439</c:v>
                </c:pt>
                <c:pt idx="6">
                  <c:v>16.171929824561399</c:v>
                </c:pt>
                <c:pt idx="7">
                  <c:v>16.100000000000001</c:v>
                </c:pt>
                <c:pt idx="8">
                  <c:v>19</c:v>
                </c:pt>
                <c:pt idx="9">
                  <c:v>16.5</c:v>
                </c:pt>
                <c:pt idx="10">
                  <c:v>16.100000000000001</c:v>
                </c:pt>
                <c:pt idx="11">
                  <c:v>16.399999999999999</c:v>
                </c:pt>
                <c:pt idx="12">
                  <c:v>16.8</c:v>
                </c:pt>
                <c:pt idx="13">
                  <c:v>17.100000000000001</c:v>
                </c:pt>
                <c:pt idx="14">
                  <c:v>17.5</c:v>
                </c:pt>
                <c:pt idx="15">
                  <c:v>17.8</c:v>
                </c:pt>
                <c:pt idx="16">
                  <c:v>18</c:v>
                </c:pt>
                <c:pt idx="17">
                  <c:v>18.3</c:v>
                </c:pt>
                <c:pt idx="18">
                  <c:v>18.5</c:v>
                </c:pt>
                <c:pt idx="19">
                  <c:v>18.8</c:v>
                </c:pt>
                <c:pt idx="20">
                  <c:v>19</c:v>
                </c:pt>
                <c:pt idx="21">
                  <c:v>19.2</c:v>
                </c:pt>
                <c:pt idx="22">
                  <c:v>19.3</c:v>
                </c:pt>
                <c:pt idx="23">
                  <c:v>19.5</c:v>
                </c:pt>
                <c:pt idx="24">
                  <c:v>19.600000000000001</c:v>
                </c:pt>
                <c:pt idx="25">
                  <c:v>19.7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BB1-4F7B-97DC-044E64B38C9A}"/>
            </c:ext>
          </c:extLst>
        </c:ser>
        <c:ser>
          <c:idx val="1"/>
          <c:order val="1"/>
          <c:tx>
            <c:v>Fuelolie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FuelPriceRAMSES!$D$33:$D$58</c:f>
              <c:numCache>
                <c:formatCode>0.00</c:formatCode>
                <c:ptCount val="26"/>
                <c:pt idx="0">
                  <c:v>28.1954385964913</c:v>
                </c:pt>
                <c:pt idx="1">
                  <c:v>31.018421052631599</c:v>
                </c:pt>
                <c:pt idx="2">
                  <c:v>33.841403508771897</c:v>
                </c:pt>
                <c:pt idx="3">
                  <c:v>36.664385964912299</c:v>
                </c:pt>
                <c:pt idx="4">
                  <c:v>39.487368421052601</c:v>
                </c:pt>
                <c:pt idx="5">
                  <c:v>42.310350877193002</c:v>
                </c:pt>
                <c:pt idx="6">
                  <c:v>45.133333333333297</c:v>
                </c:pt>
                <c:pt idx="7">
                  <c:v>34.9</c:v>
                </c:pt>
                <c:pt idx="8">
                  <c:v>44.5</c:v>
                </c:pt>
                <c:pt idx="9">
                  <c:v>52.4</c:v>
                </c:pt>
                <c:pt idx="10">
                  <c:v>58.1</c:v>
                </c:pt>
                <c:pt idx="11">
                  <c:v>63.2</c:v>
                </c:pt>
                <c:pt idx="12">
                  <c:v>68.3</c:v>
                </c:pt>
                <c:pt idx="13">
                  <c:v>70.5</c:v>
                </c:pt>
                <c:pt idx="14">
                  <c:v>72.5</c:v>
                </c:pt>
                <c:pt idx="15">
                  <c:v>74.2</c:v>
                </c:pt>
                <c:pt idx="16">
                  <c:v>75.5</c:v>
                </c:pt>
                <c:pt idx="17">
                  <c:v>78.099999999999994</c:v>
                </c:pt>
                <c:pt idx="18">
                  <c:v>80.599999999999994</c:v>
                </c:pt>
                <c:pt idx="19">
                  <c:v>83</c:v>
                </c:pt>
                <c:pt idx="20">
                  <c:v>85.2</c:v>
                </c:pt>
                <c:pt idx="21">
                  <c:v>87.4</c:v>
                </c:pt>
                <c:pt idx="22">
                  <c:v>89.2</c:v>
                </c:pt>
                <c:pt idx="23">
                  <c:v>90.7</c:v>
                </c:pt>
                <c:pt idx="24">
                  <c:v>92.1</c:v>
                </c:pt>
                <c:pt idx="25">
                  <c:v>93.5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BB1-4F7B-97DC-044E64B38C9A}"/>
            </c:ext>
          </c:extLst>
        </c:ser>
        <c:ser>
          <c:idx val="2"/>
          <c:order val="2"/>
          <c:tx>
            <c:v>Naturgas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FuelPriceRAMSES!$F$33:$F$58</c:f>
              <c:numCache>
                <c:formatCode>0.00</c:formatCode>
                <c:ptCount val="26"/>
                <c:pt idx="0">
                  <c:v>16.887017543859699</c:v>
                </c:pt>
                <c:pt idx="1">
                  <c:v>19.226315789473698</c:v>
                </c:pt>
                <c:pt idx="2">
                  <c:v>21.565614035087702</c:v>
                </c:pt>
                <c:pt idx="3">
                  <c:v>23.904912280701801</c:v>
                </c:pt>
                <c:pt idx="4">
                  <c:v>26.244210526315801</c:v>
                </c:pt>
                <c:pt idx="5">
                  <c:v>28.5835087719298</c:v>
                </c:pt>
                <c:pt idx="6">
                  <c:v>30.922807017543899</c:v>
                </c:pt>
                <c:pt idx="7">
                  <c:v>34.1</c:v>
                </c:pt>
                <c:pt idx="8">
                  <c:v>39.200000000000003</c:v>
                </c:pt>
                <c:pt idx="9">
                  <c:v>39.299999999999997</c:v>
                </c:pt>
                <c:pt idx="10">
                  <c:v>39.200000000000003</c:v>
                </c:pt>
                <c:pt idx="11">
                  <c:v>39.1</c:v>
                </c:pt>
                <c:pt idx="12">
                  <c:v>42.4</c:v>
                </c:pt>
                <c:pt idx="13">
                  <c:v>45.7</c:v>
                </c:pt>
                <c:pt idx="14">
                  <c:v>48.8</c:v>
                </c:pt>
                <c:pt idx="15">
                  <c:v>51.7</c:v>
                </c:pt>
                <c:pt idx="16">
                  <c:v>54.5</c:v>
                </c:pt>
                <c:pt idx="17">
                  <c:v>57.2</c:v>
                </c:pt>
                <c:pt idx="18">
                  <c:v>59.9</c:v>
                </c:pt>
                <c:pt idx="19">
                  <c:v>62.4</c:v>
                </c:pt>
                <c:pt idx="20">
                  <c:v>64.900000000000006</c:v>
                </c:pt>
                <c:pt idx="21">
                  <c:v>67.3</c:v>
                </c:pt>
                <c:pt idx="22">
                  <c:v>69.099999999999994</c:v>
                </c:pt>
                <c:pt idx="23">
                  <c:v>70.8</c:v>
                </c:pt>
                <c:pt idx="24">
                  <c:v>72.400000000000006</c:v>
                </c:pt>
                <c:pt idx="25">
                  <c:v>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BB1-4F7B-97DC-044E64B38C9A}"/>
            </c:ext>
          </c:extLst>
        </c:ser>
        <c:ser>
          <c:idx val="3"/>
          <c:order val="3"/>
          <c:tx>
            <c:v>Halm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FuelPriceRAMSES!$H$33:$H$58</c:f>
              <c:numCache>
                <c:formatCode>0.00</c:formatCode>
                <c:ptCount val="26"/>
                <c:pt idx="0">
                  <c:v>39.925614035087698</c:v>
                </c:pt>
                <c:pt idx="1">
                  <c:v>40.2789473684211</c:v>
                </c:pt>
                <c:pt idx="2">
                  <c:v>40.632280701754397</c:v>
                </c:pt>
                <c:pt idx="3">
                  <c:v>40.9856140350877</c:v>
                </c:pt>
                <c:pt idx="4">
                  <c:v>41.338947368421103</c:v>
                </c:pt>
                <c:pt idx="5">
                  <c:v>41.692280701754399</c:v>
                </c:pt>
                <c:pt idx="6">
                  <c:v>42.045614035087702</c:v>
                </c:pt>
                <c:pt idx="7">
                  <c:v>41.7</c:v>
                </c:pt>
                <c:pt idx="8">
                  <c:v>42.8</c:v>
                </c:pt>
                <c:pt idx="9">
                  <c:v>43.1</c:v>
                </c:pt>
                <c:pt idx="10">
                  <c:v>43.5</c:v>
                </c:pt>
                <c:pt idx="11">
                  <c:v>43.8</c:v>
                </c:pt>
                <c:pt idx="12">
                  <c:v>44.2</c:v>
                </c:pt>
                <c:pt idx="13">
                  <c:v>44.6</c:v>
                </c:pt>
                <c:pt idx="14">
                  <c:v>45</c:v>
                </c:pt>
                <c:pt idx="15">
                  <c:v>45.4</c:v>
                </c:pt>
                <c:pt idx="16">
                  <c:v>45.8</c:v>
                </c:pt>
                <c:pt idx="17">
                  <c:v>46.1</c:v>
                </c:pt>
                <c:pt idx="18">
                  <c:v>46.5</c:v>
                </c:pt>
                <c:pt idx="19">
                  <c:v>46.8</c:v>
                </c:pt>
                <c:pt idx="20">
                  <c:v>47.2</c:v>
                </c:pt>
                <c:pt idx="21">
                  <c:v>47.5</c:v>
                </c:pt>
                <c:pt idx="22">
                  <c:v>47.7</c:v>
                </c:pt>
                <c:pt idx="23">
                  <c:v>47.9</c:v>
                </c:pt>
                <c:pt idx="24">
                  <c:v>48.1</c:v>
                </c:pt>
                <c:pt idx="25">
                  <c:v>48.3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BB1-4F7B-97DC-044E64B38C9A}"/>
            </c:ext>
          </c:extLst>
        </c:ser>
        <c:ser>
          <c:idx val="4"/>
          <c:order val="4"/>
          <c:tx>
            <c:v>Træpiller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FuelPriceRAMSES!$I$33:$I$58</c:f>
              <c:numCache>
                <c:formatCode>0.00</c:formatCode>
                <c:ptCount val="26"/>
                <c:pt idx="0">
                  <c:v>50.760350877192998</c:v>
                </c:pt>
                <c:pt idx="1">
                  <c:v>51.739473684210502</c:v>
                </c:pt>
                <c:pt idx="2">
                  <c:v>52.718596491228098</c:v>
                </c:pt>
                <c:pt idx="3">
                  <c:v>53.697719298245602</c:v>
                </c:pt>
                <c:pt idx="4">
                  <c:v>54.676842105263198</c:v>
                </c:pt>
                <c:pt idx="5">
                  <c:v>55.655964912280702</c:v>
                </c:pt>
                <c:pt idx="6">
                  <c:v>56.635087719298198</c:v>
                </c:pt>
                <c:pt idx="7">
                  <c:v>50.1</c:v>
                </c:pt>
                <c:pt idx="8">
                  <c:v>52</c:v>
                </c:pt>
                <c:pt idx="9">
                  <c:v>58.6</c:v>
                </c:pt>
                <c:pt idx="10">
                  <c:v>61.2</c:v>
                </c:pt>
                <c:pt idx="11">
                  <c:v>63.2</c:v>
                </c:pt>
                <c:pt idx="12">
                  <c:v>67.400000000000006</c:v>
                </c:pt>
                <c:pt idx="13">
                  <c:v>67.8</c:v>
                </c:pt>
                <c:pt idx="14">
                  <c:v>68.2</c:v>
                </c:pt>
                <c:pt idx="15">
                  <c:v>68.599999999999994</c:v>
                </c:pt>
                <c:pt idx="16">
                  <c:v>69</c:v>
                </c:pt>
                <c:pt idx="17">
                  <c:v>69.400000000000006</c:v>
                </c:pt>
                <c:pt idx="18">
                  <c:v>69.8</c:v>
                </c:pt>
                <c:pt idx="19">
                  <c:v>70.099999999999994</c:v>
                </c:pt>
                <c:pt idx="20">
                  <c:v>70.5</c:v>
                </c:pt>
                <c:pt idx="21">
                  <c:v>70.900000000000006</c:v>
                </c:pt>
                <c:pt idx="22">
                  <c:v>71.099999999999994</c:v>
                </c:pt>
                <c:pt idx="23">
                  <c:v>71.2</c:v>
                </c:pt>
                <c:pt idx="24">
                  <c:v>71.400000000000006</c:v>
                </c:pt>
                <c:pt idx="25">
                  <c:v>71.599999999999994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BB1-4F7B-97DC-044E64B38C9A}"/>
            </c:ext>
          </c:extLst>
        </c:ser>
        <c:ser>
          <c:idx val="5"/>
          <c:order val="5"/>
          <c:tx>
            <c:v>Uran</c:v>
          </c:tx>
          <c:marker>
            <c:symbol val="none"/>
          </c:marker>
          <c:cat>
            <c:numRef>
              <c:f>FuelPriceRAMSES!$A$33:$A$58</c:f>
              <c:numCache>
                <c:formatCode>0</c:formatCode>
                <c:ptCount val="26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  <c:pt idx="7">
                  <c:v>2017</c:v>
                </c:pt>
                <c:pt idx="8">
                  <c:v>2018</c:v>
                </c:pt>
                <c:pt idx="9">
                  <c:v>2019</c:v>
                </c:pt>
                <c:pt idx="10">
                  <c:v>2020</c:v>
                </c:pt>
                <c:pt idx="11">
                  <c:v>2021</c:v>
                </c:pt>
                <c:pt idx="12">
                  <c:v>2022</c:v>
                </c:pt>
                <c:pt idx="13">
                  <c:v>2023</c:v>
                </c:pt>
                <c:pt idx="14">
                  <c:v>2024</c:v>
                </c:pt>
                <c:pt idx="15">
                  <c:v>2025</c:v>
                </c:pt>
                <c:pt idx="16">
                  <c:v>2026</c:v>
                </c:pt>
                <c:pt idx="17">
                  <c:v>2027</c:v>
                </c:pt>
                <c:pt idx="18">
                  <c:v>2028</c:v>
                </c:pt>
                <c:pt idx="19">
                  <c:v>2029</c:v>
                </c:pt>
                <c:pt idx="20">
                  <c:v>2030</c:v>
                </c:pt>
                <c:pt idx="21">
                  <c:v>2031</c:v>
                </c:pt>
                <c:pt idx="22">
                  <c:v>2032</c:v>
                </c:pt>
                <c:pt idx="23">
                  <c:v>2033</c:v>
                </c:pt>
                <c:pt idx="24">
                  <c:v>2034</c:v>
                </c:pt>
                <c:pt idx="25">
                  <c:v>2035</c:v>
                </c:pt>
              </c:numCache>
            </c:numRef>
          </c:cat>
          <c:val>
            <c:numRef>
              <c:f>FuelPriceRAMSES!$M$33:$M$58</c:f>
              <c:numCache>
                <c:formatCode>0.00</c:formatCode>
                <c:ptCount val="26"/>
                <c:pt idx="0">
                  <c:v>4.8600000000000003</c:v>
                </c:pt>
                <c:pt idx="1">
                  <c:v>5.72</c:v>
                </c:pt>
                <c:pt idx="2">
                  <c:v>5.72</c:v>
                </c:pt>
                <c:pt idx="3">
                  <c:v>5.72</c:v>
                </c:pt>
                <c:pt idx="4">
                  <c:v>5.72</c:v>
                </c:pt>
                <c:pt idx="5">
                  <c:v>5.72</c:v>
                </c:pt>
                <c:pt idx="6">
                  <c:v>5.72</c:v>
                </c:pt>
                <c:pt idx="7">
                  <c:v>5.72</c:v>
                </c:pt>
                <c:pt idx="8">
                  <c:v>5.72</c:v>
                </c:pt>
                <c:pt idx="9">
                  <c:v>5.72</c:v>
                </c:pt>
                <c:pt idx="10">
                  <c:v>5.72</c:v>
                </c:pt>
                <c:pt idx="11">
                  <c:v>5.72</c:v>
                </c:pt>
                <c:pt idx="12">
                  <c:v>5.72</c:v>
                </c:pt>
                <c:pt idx="13">
                  <c:v>5.72</c:v>
                </c:pt>
                <c:pt idx="14">
                  <c:v>5.72</c:v>
                </c:pt>
                <c:pt idx="15">
                  <c:v>5.72</c:v>
                </c:pt>
                <c:pt idx="16">
                  <c:v>5.72</c:v>
                </c:pt>
                <c:pt idx="17">
                  <c:v>5.72</c:v>
                </c:pt>
                <c:pt idx="18">
                  <c:v>5.72</c:v>
                </c:pt>
                <c:pt idx="19">
                  <c:v>5.72</c:v>
                </c:pt>
                <c:pt idx="20">
                  <c:v>5.72</c:v>
                </c:pt>
                <c:pt idx="21">
                  <c:v>5.72</c:v>
                </c:pt>
                <c:pt idx="22">
                  <c:v>5.72</c:v>
                </c:pt>
                <c:pt idx="23">
                  <c:v>5.72</c:v>
                </c:pt>
                <c:pt idx="24">
                  <c:v>5.72</c:v>
                </c:pt>
                <c:pt idx="25">
                  <c:v>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3078272"/>
        <c:axId val="-782882688"/>
      </c:lineChart>
      <c:lineChart>
        <c:grouping val="standard"/>
        <c:varyColors val="0"/>
        <c:ser>
          <c:idx val="6"/>
          <c:order val="6"/>
          <c:tx>
            <c:v>Kvoter</c:v>
          </c:tx>
          <c:spPr>
            <a:ln>
              <a:solidFill>
                <a:schemeClr val="tx1"/>
              </a:solidFill>
              <a:prstDash val="dash"/>
            </a:ln>
          </c:spPr>
          <c:marker>
            <c:symbol val="none"/>
          </c:marker>
          <c:val>
            <c:numLit>
              <c:formatCode>General</c:formatCode>
              <c:ptCount val="26"/>
              <c:pt idx="0">
                <c:v>107.3728641468893</c:v>
              </c:pt>
              <c:pt idx="1">
                <c:v>92.639139927603608</c:v>
              </c:pt>
              <c:pt idx="2">
                <c:v>46.802115357037721</c:v>
              </c:pt>
              <c:pt idx="3">
                <c:v>62.058552772033011</c:v>
              </c:pt>
              <c:pt idx="4">
                <c:v>77.367858723694752</c:v>
              </c:pt>
              <c:pt idx="5">
                <c:v>91.73139589860925</c:v>
              </c:pt>
              <c:pt idx="6">
                <c:v>105.76710152210239</c:v>
              </c:pt>
              <c:pt idx="7">
                <c:v>119.4749755941741</c:v>
              </c:pt>
              <c:pt idx="8">
                <c:v>132.8550181148245</c:v>
              </c:pt>
              <c:pt idx="9">
                <c:v>147.55279933688121</c:v>
              </c:pt>
              <c:pt idx="10">
                <c:v>162.250580558938</c:v>
              </c:pt>
              <c:pt idx="11">
                <c:v>167.65893324423581</c:v>
              </c:pt>
              <c:pt idx="12">
                <c:v>173.0672859295338</c:v>
              </c:pt>
              <c:pt idx="13">
                <c:v>178.47563861483161</c:v>
              </c:pt>
              <c:pt idx="14">
                <c:v>183.88399130012971</c:v>
              </c:pt>
              <c:pt idx="15">
                <c:v>189.29234398542761</c:v>
              </c:pt>
              <c:pt idx="16">
                <c:v>194.70069667072551</c:v>
              </c:pt>
              <c:pt idx="17">
                <c:v>200.10904935602341</c:v>
              </c:pt>
              <c:pt idx="18">
                <c:v>205.5174020413213</c:v>
              </c:pt>
              <c:pt idx="19">
                <c:v>210.9257547266192</c:v>
              </c:pt>
              <c:pt idx="20">
                <c:v>216.33410741191719</c:v>
              </c:pt>
              <c:pt idx="21">
                <c:v>221.74246009721509</c:v>
              </c:pt>
              <c:pt idx="22">
                <c:v>227.15081278251299</c:v>
              </c:pt>
              <c:pt idx="23">
                <c:v>232.559165467811</c:v>
              </c:pt>
              <c:pt idx="24">
                <c:v>237.96751815310901</c:v>
              </c:pt>
              <c:pt idx="25">
                <c:v>243.3758708384068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FBB1-4F7B-97DC-044E64B38C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782481904"/>
        <c:axId val="-791357232"/>
      </c:lineChart>
      <c:catAx>
        <c:axId val="-783078272"/>
        <c:scaling>
          <c:orientation val="minMax"/>
        </c:scaling>
        <c:delete val="0"/>
        <c:axPos val="b"/>
        <c:numFmt formatCode="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-782882688"/>
        <c:crosses val="autoZero"/>
        <c:auto val="1"/>
        <c:lblAlgn val="ctr"/>
        <c:lblOffset val="100"/>
        <c:noMultiLvlLbl val="0"/>
      </c:catAx>
      <c:valAx>
        <c:axId val="-78288268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kr/GJ</a:t>
                </a:r>
              </a:p>
            </c:rich>
          </c:tx>
          <c:layout>
            <c:manualLayout>
              <c:xMode val="edge"/>
              <c:yMode val="edge"/>
              <c:x val="1.35871205075743E-2"/>
              <c:y val="0.3984758991740209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-783078272"/>
        <c:crosses val="autoZero"/>
        <c:crossBetween val="between"/>
      </c:valAx>
      <c:catAx>
        <c:axId val="-782481904"/>
        <c:scaling>
          <c:orientation val="minMax"/>
        </c:scaling>
        <c:delete val="1"/>
        <c:axPos val="b"/>
        <c:majorTickMark val="out"/>
        <c:minorTickMark val="none"/>
        <c:tickLblPos val="nextTo"/>
        <c:crossAx val="-791357232"/>
        <c:crosses val="autoZero"/>
        <c:auto val="1"/>
        <c:lblAlgn val="ctr"/>
        <c:lblOffset val="100"/>
        <c:noMultiLvlLbl val="0"/>
      </c:catAx>
      <c:valAx>
        <c:axId val="-791357232"/>
        <c:scaling>
          <c:orientation val="minMax"/>
        </c:scaling>
        <c:delete val="0"/>
        <c:axPos val="r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a-DK"/>
                  <a:t>kr/ton</a:t>
                </a:r>
              </a:p>
            </c:rich>
          </c:tx>
          <c:layout>
            <c:manualLayout>
              <c:xMode val="edge"/>
              <c:yMode val="edge"/>
              <c:x val="0.93954409242151804"/>
              <c:y val="0.424788476243618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a-DK"/>
          </a:p>
        </c:txPr>
        <c:crossAx val="-782481904"/>
        <c:crosses val="max"/>
        <c:crossBetween val="between"/>
      </c:valAx>
    </c:plotArea>
    <c:legend>
      <c:legendPos val="r"/>
      <c:layout>
        <c:manualLayout>
          <c:xMode val="edge"/>
          <c:yMode val="edge"/>
          <c:x val="4.8818897637795303E-2"/>
          <c:y val="0.91338582677165403"/>
          <c:w val="0.89921259842519696"/>
          <c:h val="6.2992125984251995E-2"/>
        </c:manualLayout>
      </c:layout>
      <c:overlay val="0"/>
      <c:txPr>
        <a:bodyPr/>
        <a:lstStyle/>
        <a:p>
          <a:pPr>
            <a:defRPr sz="5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a-DK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a-DK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65</xdr:row>
      <xdr:rowOff>180975</xdr:rowOff>
    </xdr:from>
    <xdr:to>
      <xdr:col>8</xdr:col>
      <xdr:colOff>542925</xdr:colOff>
      <xdr:row>84</xdr:row>
      <xdr:rowOff>190500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695325</xdr:colOff>
      <xdr:row>67</xdr:row>
      <xdr:rowOff>95250</xdr:rowOff>
    </xdr:from>
    <xdr:to>
      <xdr:col>28</xdr:col>
      <xdr:colOff>236828</xdr:colOff>
      <xdr:row>102</xdr:row>
      <xdr:rowOff>27750</xdr:rowOff>
    </xdr:to>
    <xdr:pic>
      <xdr:nvPicPr>
        <xdr:cNvPr id="3" name="Billede 2">
          <a:extLst>
            <a:ext uri="{FF2B5EF4-FFF2-40B4-BE49-F238E27FC236}">
              <a16:creationId xmlns:a16="http://schemas.microsoft.com/office/drawing/2014/main" id="{16F977D9-809C-4C25-9ADE-7321C7A0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10950" y="7458075"/>
          <a:ext cx="10371428" cy="660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03%20Team%20Modeller%20og%20analyser\Br&#230;ndselspriser\Br&#230;ndselspriser%202012\Regneark\Br&#230;ndselspriser%202012%20-%2020120628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Plants2020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Mikkel/TIMES-DK/SubRES_TMPL/SubRes_ELC_Plants2025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VEDA/VEDA_Models/Denmark/TIMES-DK-DEA_ws2016/VT_DK_ELC_v1p13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RAMSES/Simuleringer/2012/2012-08-27/Rettelser_foretaget_i_DATA69_20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ELC_TechC"/>
      <sheetName val="ELC_ProcC"/>
      <sheetName val="Fuel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13">
          <cell r="K13">
            <v>0.42080205772444135</v>
          </cell>
          <cell r="L13">
            <v>9.3097800401856112</v>
          </cell>
        </row>
        <row r="14">
          <cell r="K14">
            <v>0.1678086545881684</v>
          </cell>
          <cell r="L14">
            <v>4.928707080098266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ELC_TechD"/>
      <sheetName val="ELC_ProcD"/>
      <sheetName val="Fuel"/>
      <sheetName val="Adjusting O&amp;M waste and WIN "/>
      <sheetName val="O&amp;M waste and WIN "/>
    </sheetNames>
    <sheetDataSet>
      <sheetData sheetId="0"/>
      <sheetData sheetId="1"/>
      <sheetData sheetId="2"/>
      <sheetData sheetId="3"/>
      <sheetData sheetId="4"/>
      <sheetData sheetId="5">
        <row r="5">
          <cell r="E5">
            <v>0.29799999999999999</v>
          </cell>
        </row>
      </sheetData>
      <sheetData sheetId="6">
        <row r="5">
          <cell r="E5">
            <v>0.29799999999999999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G"/>
      <sheetName val="Intro"/>
      <sheetName val="Comm"/>
      <sheetName val="Proc"/>
      <sheetName val="ProcA"/>
      <sheetName val="ProcB"/>
      <sheetName val="Tech"/>
      <sheetName val="TechA"/>
      <sheetName val="TechB"/>
      <sheetName val="Fuel Tech"/>
      <sheetName val="Emis"/>
      <sheetName val="Fuel"/>
      <sheetName val="O&amp;M waste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4">
          <cell r="C4">
            <v>1.49</v>
          </cell>
          <cell r="D4">
            <v>49.459722222222226</v>
          </cell>
        </row>
        <row r="5">
          <cell r="D5">
            <v>13.658333333333333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9"/>
  </sheetPr>
  <dimension ref="A3:F78"/>
  <sheetViews>
    <sheetView topLeftCell="E1" workbookViewId="0">
      <selection activeCell="F9" sqref="F9"/>
    </sheetView>
  </sheetViews>
  <sheetFormatPr defaultColWidth="7.44140625" defaultRowHeight="14.4"/>
  <cols>
    <col min="1" max="1" width="11.44140625" bestFit="1" customWidth="1"/>
    <col min="2" max="2" width="16.6640625" bestFit="1" customWidth="1"/>
    <col min="3" max="4" width="18.44140625" bestFit="1" customWidth="1"/>
    <col min="5" max="5" width="172.88671875" customWidth="1"/>
    <col min="6" max="6" width="23.33203125" bestFit="1" customWidth="1"/>
  </cols>
  <sheetData>
    <row r="3" spans="1:6">
      <c r="A3" s="127" t="s">
        <v>212</v>
      </c>
      <c r="B3" s="127" t="s">
        <v>409</v>
      </c>
      <c r="C3" s="127" t="s">
        <v>410</v>
      </c>
      <c r="D3" s="127" t="s">
        <v>411</v>
      </c>
      <c r="E3" s="127" t="s">
        <v>412</v>
      </c>
      <c r="F3" s="127" t="s">
        <v>393</v>
      </c>
    </row>
    <row r="4" spans="1:6" s="388" customFormat="1">
      <c r="A4" s="389">
        <v>43145</v>
      </c>
      <c r="B4" s="388" t="s">
        <v>622</v>
      </c>
      <c r="C4" s="388" t="s">
        <v>562</v>
      </c>
      <c r="D4" s="388" t="str">
        <f>ADDRESS(ROW(ELC_Processes_CEN!B28),COLUMN(ELC_Processes_CEN!B28),4,1)&amp;":"&amp;ADDRESS(ROW(ELC_Processes_CEN!B29),COLUMN(ELC_Processes_CEN!B29),4,1)</f>
        <v>B28:B29</v>
      </c>
      <c r="E4" s="388" t="s">
        <v>623</v>
      </c>
    </row>
    <row r="5" spans="1:6" s="388" customFormat="1">
      <c r="A5" s="389">
        <v>43048</v>
      </c>
      <c r="B5" s="388" t="s">
        <v>592</v>
      </c>
      <c r="C5" s="388" t="s">
        <v>386</v>
      </c>
      <c r="D5" s="388" t="s">
        <v>609</v>
      </c>
      <c r="E5" s="388" t="s">
        <v>610</v>
      </c>
    </row>
    <row r="6" spans="1:6" s="388" customFormat="1">
      <c r="A6" s="389">
        <v>43034</v>
      </c>
      <c r="B6" s="388" t="s">
        <v>592</v>
      </c>
      <c r="C6" s="388" t="s">
        <v>386</v>
      </c>
      <c r="D6" s="388" t="s">
        <v>596</v>
      </c>
      <c r="E6" s="388" t="s">
        <v>598</v>
      </c>
    </row>
    <row r="7" spans="1:6" s="388" customFormat="1">
      <c r="A7" s="389">
        <v>42958</v>
      </c>
      <c r="B7" s="388" t="s">
        <v>592</v>
      </c>
      <c r="C7" s="388" t="s">
        <v>593</v>
      </c>
      <c r="D7" s="388" t="s">
        <v>593</v>
      </c>
      <c r="E7" s="388" t="s">
        <v>597</v>
      </c>
    </row>
    <row r="8" spans="1:6" s="367" customFormat="1">
      <c r="A8" s="438">
        <v>42831</v>
      </c>
      <c r="B8" s="437" t="s">
        <v>567</v>
      </c>
      <c r="C8" s="437" t="s">
        <v>386</v>
      </c>
      <c r="D8" s="437" t="s">
        <v>574</v>
      </c>
      <c r="E8" s="437" t="s">
        <v>575</v>
      </c>
      <c r="F8" s="127"/>
    </row>
    <row r="9" spans="1:6" s="367" customFormat="1">
      <c r="A9" s="438">
        <v>42831</v>
      </c>
      <c r="B9" s="437" t="s">
        <v>567</v>
      </c>
      <c r="C9" s="437" t="s">
        <v>496</v>
      </c>
      <c r="D9" s="437" t="s">
        <v>572</v>
      </c>
      <c r="E9" s="437" t="s">
        <v>573</v>
      </c>
      <c r="F9" s="127"/>
    </row>
    <row r="10" spans="1:6" s="367" customFormat="1">
      <c r="A10" s="438">
        <v>42817</v>
      </c>
      <c r="B10" s="437" t="s">
        <v>567</v>
      </c>
      <c r="C10" s="437" t="s">
        <v>386</v>
      </c>
      <c r="D10" s="437"/>
      <c r="E10" s="437" t="s">
        <v>569</v>
      </c>
      <c r="F10" s="437" t="s">
        <v>568</v>
      </c>
    </row>
    <row r="11" spans="1:6" s="388" customFormat="1">
      <c r="A11" s="389">
        <v>42788</v>
      </c>
      <c r="B11" s="388" t="s">
        <v>413</v>
      </c>
      <c r="C11" s="388" t="s">
        <v>562</v>
      </c>
      <c r="D11" s="388" t="str">
        <f>ADDRESS(ROW(ELC_Processes_CEN!F43),COLUMN(ELC_Processes_CEN!F43),4,1)</f>
        <v>F43</v>
      </c>
      <c r="E11" s="388" t="s">
        <v>564</v>
      </c>
    </row>
    <row r="12" spans="1:6" s="388" customFormat="1">
      <c r="A12" s="389">
        <v>42788</v>
      </c>
      <c r="B12" s="388" t="s">
        <v>413</v>
      </c>
      <c r="C12" s="388" t="s">
        <v>562</v>
      </c>
      <c r="D12" s="388" t="e">
        <f>ADDRESS(ROW(ELC_Processes_CEN!C36),COLUMN(ELC_Processes_CEN!C36),4,1)&amp;","&amp;ADDRESS(ROW(ELC_Processes_CEN!C43),COLUMN(ELC_Processes_CEN!C43),4,1)&amp;","&amp;ADDRESS(ROW(ELC_Processes_CEN!D27),COLUMN(ELC_Processes_CEN!D27),4,1)&amp;","&amp;ADDRESS(ROW(ELC_Processes_CEN!#REF!),COLUMN(ELC_Processes_CEN!#REF!),4,1)&amp;","&amp;ADDRESS(ROW(ELC_Processes_CEN!#REF!),COLUMN(ELC_Processes_CEN!#REF!),4,1)&amp;","&amp;ADDRESS(ROW(ELC_Processes_CEN!#REF!),COLUMN(ELC_Processes_CEN!#REF!),4,1)&amp;","&amp;ADDRESS(ROW(ELC_Processes_CEN!D30),COLUMN(ELC_Processes_CEN!D30),4,1)&amp;","&amp;ADDRESS(ROW(ELC_Processes_CEN!D32),COLUMN(ELC_Processes_CEN!D32),4,1)&amp;","&amp;ADDRESS(ROW(ELC_Processes_CEN!D34),COLUMN(ELC_Processes_CEN!D34),4,1)&amp;","&amp;ADDRESS(ROW(ELC_Processes_CEN!D35),COLUMN(ELC_Processes_CEN!D35),4,1)&amp;","&amp;ADDRESS(ROW(ELC_Processes_CEN!D36),COLUMN(ELC_Processes_CEN!D36),4,1)&amp;","&amp;ADDRESS(ROW(ELC_Processes_CEN!D37),COLUMN(ELC_Processes_CEN!D37),4,1)&amp;","&amp;ADDRESS(ROW(ELC_Processes_CEN!D38),COLUMN(ELC_Processes_CEN!D38),4,1)&amp;","&amp;ADDRESS(ROW(ELC_Processes_CEN!D39),COLUMN(ELC_Processes_CEN!D39),4,1)&amp;","&amp;ADDRESS(ROW(ELC_Processes_CEN!D40),COLUMN(ELC_Processes_CEN!D40),4,1)&amp;","&amp;ADDRESS(ROW(ELC_Processes_CEN!D41),COLUMN(ELC_Processes_CEN!D41),4,1)&amp;","&amp;ADDRESS(ROW(ELC_Processes_CEN!D42),COLUMN(ELC_Processes_CEN!D42),4,1)&amp;","&amp;ADDRESS(ROW(ELC_Processes_CEN!D43),COLUMN(ELC_Processes_CEN!D43),4,1)</f>
        <v>#REF!</v>
      </c>
      <c r="E12" s="388" t="s">
        <v>563</v>
      </c>
    </row>
    <row r="13" spans="1:6" s="367" customFormat="1">
      <c r="A13" s="390">
        <v>42788</v>
      </c>
      <c r="B13" s="23" t="s">
        <v>559</v>
      </c>
      <c r="C13" s="23" t="s">
        <v>386</v>
      </c>
      <c r="D13" s="388" t="str">
        <f>ADDRESS(ROW(ELC_CEN!AF137),COLUMN(ELC_CEN!AF137),4,1)</f>
        <v>AF137</v>
      </c>
      <c r="E13" s="23" t="s">
        <v>560</v>
      </c>
      <c r="F13" s="127"/>
    </row>
    <row r="14" spans="1:6" s="388" customFormat="1">
      <c r="A14" s="389">
        <v>42541</v>
      </c>
      <c r="B14" s="388" t="s">
        <v>400</v>
      </c>
      <c r="C14" s="388" t="s">
        <v>557</v>
      </c>
      <c r="D14" s="388" t="str">
        <f>ADDRESS(ROW(ELC_Processes_DEC!B2),COLUMN(ELC_Processes_DEC!B2),4,1)</f>
        <v>B2</v>
      </c>
      <c r="E14" s="388" t="s">
        <v>558</v>
      </c>
    </row>
    <row r="15" spans="1:6" s="388" customFormat="1">
      <c r="A15" s="389">
        <v>42541</v>
      </c>
      <c r="B15" s="388" t="s">
        <v>400</v>
      </c>
      <c r="C15" s="388" t="s">
        <v>386</v>
      </c>
      <c r="D15" s="388" t="str">
        <f>ADDRESS(ROW(ELC_CEN!A137),COLUMN(ELC_CEN!A137),4,1)</f>
        <v>A137</v>
      </c>
      <c r="E15" s="388" t="s">
        <v>556</v>
      </c>
    </row>
    <row r="16" spans="1:6" s="307" customFormat="1">
      <c r="A16" s="309">
        <v>42509</v>
      </c>
      <c r="B16" s="307" t="s">
        <v>525</v>
      </c>
      <c r="C16" s="307" t="s">
        <v>526</v>
      </c>
      <c r="E16" s="307" t="s">
        <v>527</v>
      </c>
    </row>
    <row r="17" spans="1:6" s="307" customFormat="1">
      <c r="A17" s="309">
        <v>42478</v>
      </c>
      <c r="B17" s="307" t="s">
        <v>400</v>
      </c>
      <c r="C17" s="307" t="s">
        <v>386</v>
      </c>
      <c r="D17" s="307" t="str">
        <f>ADDRESS(ROW(ELC_CEN!AB87),COLUMN(ELC_CEN!AB87),4,1)&amp;":"&amp;ADDRESS(ROW(ELC_CEN!AB93),COLUMN(ELC_CEN!AB93),4,1)</f>
        <v>AB87:AB93</v>
      </c>
      <c r="E17" s="307" t="s">
        <v>501</v>
      </c>
    </row>
    <row r="18" spans="1:6" s="307" customFormat="1">
      <c r="A18" s="309">
        <v>42478</v>
      </c>
      <c r="B18" s="307" t="s">
        <v>400</v>
      </c>
      <c r="C18" s="307" t="s">
        <v>494</v>
      </c>
      <c r="D18" s="307" t="str">
        <f>ADDRESS(ROW(ELC_Processes_CEN!C26),COLUMN(ELC_Processes_CEN!C26),4,1)</f>
        <v>C26</v>
      </c>
      <c r="E18" s="307" t="s">
        <v>500</v>
      </c>
    </row>
    <row r="19" spans="1:6" s="307" customFormat="1">
      <c r="A19" s="309">
        <v>42478</v>
      </c>
      <c r="B19" s="307" t="s">
        <v>400</v>
      </c>
      <c r="C19" s="307" t="s">
        <v>386</v>
      </c>
      <c r="D19" s="307" t="str">
        <f>ADDRESS(ROW(ELC_CEN!A95),COLUMN(ELC_CEN!A95),4,1)</f>
        <v>A95</v>
      </c>
      <c r="E19" s="307" t="s">
        <v>499</v>
      </c>
    </row>
    <row r="20" spans="1:6">
      <c r="A20" s="309">
        <v>42478</v>
      </c>
      <c r="B20" s="307" t="s">
        <v>416</v>
      </c>
      <c r="C20" s="307" t="s">
        <v>386</v>
      </c>
      <c r="D20" s="307"/>
      <c r="E20" s="307" t="s">
        <v>498</v>
      </c>
      <c r="F20" s="127"/>
    </row>
    <row r="21" spans="1:6">
      <c r="A21" s="309">
        <v>42478</v>
      </c>
      <c r="B21" s="307" t="s">
        <v>416</v>
      </c>
      <c r="C21" s="307" t="s">
        <v>494</v>
      </c>
      <c r="D21" s="307"/>
      <c r="E21" s="307" t="s">
        <v>498</v>
      </c>
      <c r="F21" s="127"/>
    </row>
    <row r="22" spans="1:6" s="307" customFormat="1">
      <c r="A22" s="309">
        <v>42478</v>
      </c>
      <c r="B22" s="307" t="s">
        <v>416</v>
      </c>
      <c r="C22" s="307" t="s">
        <v>386</v>
      </c>
      <c r="E22" s="307" t="s">
        <v>492</v>
      </c>
    </row>
    <row r="23" spans="1:6">
      <c r="A23" s="309">
        <v>42478</v>
      </c>
      <c r="B23" s="307" t="s">
        <v>416</v>
      </c>
      <c r="C23" s="307" t="s">
        <v>386</v>
      </c>
      <c r="D23" s="23"/>
      <c r="E23" s="23" t="s">
        <v>493</v>
      </c>
      <c r="F23" s="127"/>
    </row>
    <row r="24" spans="1:6">
      <c r="A24" s="309">
        <v>42478</v>
      </c>
      <c r="B24" s="307" t="s">
        <v>416</v>
      </c>
      <c r="C24" s="307" t="s">
        <v>494</v>
      </c>
      <c r="D24" s="23"/>
      <c r="E24" s="23" t="s">
        <v>495</v>
      </c>
      <c r="F24" s="127"/>
    </row>
    <row r="25" spans="1:6">
      <c r="A25" s="309">
        <v>42478</v>
      </c>
      <c r="B25" s="307" t="s">
        <v>416</v>
      </c>
      <c r="C25" s="307" t="s">
        <v>496</v>
      </c>
      <c r="D25" s="23"/>
      <c r="E25" s="23" t="s">
        <v>497</v>
      </c>
      <c r="F25" s="127"/>
    </row>
    <row r="26" spans="1:6" s="307" customFormat="1">
      <c r="A26" s="309">
        <v>42474</v>
      </c>
      <c r="B26" s="307" t="s">
        <v>400</v>
      </c>
      <c r="C26" s="307" t="s">
        <v>386</v>
      </c>
      <c r="D26" s="307" t="str">
        <f>ADDRESS(ROW(ELC_CEN!U83),COLUMN(ELC_CEN!U83),4,1)&amp;":"&amp;ADDRESS(ROW(ELC_CEN!V86),COLUMN(ELC_CEN!V86),4,1)</f>
        <v>U83:V86</v>
      </c>
    </row>
    <row r="27" spans="1:6" s="307" customFormat="1">
      <c r="A27" s="309">
        <v>42474</v>
      </c>
      <c r="B27" s="307" t="s">
        <v>400</v>
      </c>
      <c r="C27" s="307" t="s">
        <v>386</v>
      </c>
      <c r="D27" s="307" t="str">
        <f>ADDRESS(ROW(ELC_CEN!T161),COLUMN(ELC_CEN!T161),4,1)</f>
        <v>T161</v>
      </c>
      <c r="E27" s="307" t="s">
        <v>491</v>
      </c>
    </row>
    <row r="28" spans="1:6" s="307" customFormat="1">
      <c r="A28" s="309">
        <v>42474</v>
      </c>
      <c r="B28" s="307" t="s">
        <v>400</v>
      </c>
      <c r="C28" s="307" t="s">
        <v>398</v>
      </c>
      <c r="D28" s="307" t="str">
        <f>ADDRESS(ROW(ELC_DEC!C126),COLUMN(ELC_DEC!C126),4,1)</f>
        <v>C126</v>
      </c>
      <c r="E28" s="307" t="s">
        <v>489</v>
      </c>
    </row>
    <row r="29" spans="1:6" s="324" customFormat="1">
      <c r="A29" s="309">
        <v>42473</v>
      </c>
      <c r="B29" s="307" t="s">
        <v>400</v>
      </c>
      <c r="C29" s="307" t="s">
        <v>442</v>
      </c>
      <c r="D29" s="307" t="str">
        <f>ADDRESS(ROW('Naming convention'!I5),COLUMN('Naming convention'!I5),4,1)</f>
        <v>I5</v>
      </c>
      <c r="E29" s="307" t="s">
        <v>441</v>
      </c>
    </row>
    <row r="30" spans="1:6" s="325" customFormat="1">
      <c r="A30" s="322">
        <v>42466</v>
      </c>
      <c r="B30" s="321" t="s">
        <v>400</v>
      </c>
      <c r="C30" s="321" t="s">
        <v>386</v>
      </c>
      <c r="D30" s="321" t="str">
        <f>ADDRESS(ROW(ELC_CEN!A43),COLUMN(ELC_CEN!A43),4,1)</f>
        <v>A43</v>
      </c>
      <c r="E30" s="321" t="s">
        <v>490</v>
      </c>
    </row>
    <row r="31" spans="1:6" s="307" customFormat="1">
      <c r="A31" s="309">
        <v>42466</v>
      </c>
      <c r="B31" s="307" t="s">
        <v>400</v>
      </c>
      <c r="C31" s="307" t="s">
        <v>386</v>
      </c>
      <c r="D31" s="307" t="str">
        <f>ADDRESS(ROW(ELC_CEN!A51),COLUMN(ELC_CEN!A51),4,1)</f>
        <v>A51</v>
      </c>
      <c r="E31" s="307" t="s">
        <v>440</v>
      </c>
    </row>
    <row r="32" spans="1:6" s="307" customFormat="1">
      <c r="A32" s="309">
        <v>42460</v>
      </c>
      <c r="B32" s="307" t="s">
        <v>400</v>
      </c>
      <c r="C32" s="307" t="s">
        <v>386</v>
      </c>
      <c r="D32" s="307" t="str">
        <f>ADDRESS(ROW(ELC_CEN!T51),COLUMN(ELC_CEN!T51),4,1)</f>
        <v>T51</v>
      </c>
      <c r="E32" s="307" t="s">
        <v>491</v>
      </c>
    </row>
    <row r="33" spans="1:5" s="307" customFormat="1">
      <c r="A33" s="309">
        <v>42447</v>
      </c>
      <c r="B33" s="307" t="s">
        <v>400</v>
      </c>
      <c r="E33" s="307" t="s">
        <v>439</v>
      </c>
    </row>
    <row r="34" spans="1:5" s="307" customFormat="1">
      <c r="A34" s="309">
        <v>42447</v>
      </c>
      <c r="B34" s="307" t="s">
        <v>400</v>
      </c>
      <c r="C34" s="307" t="s">
        <v>386</v>
      </c>
      <c r="D34" s="307" t="str">
        <f>ADDRESS(ROW(ELC_CEN!U87),COLUMN(ELC_CEN!U87),4,1)&amp;":"&amp;ADDRESS(ROW(ELC_CEN!U94),COLUMN(ELC_CEN!U94),4,1)</f>
        <v>U87:U94</v>
      </c>
      <c r="E34" s="307" t="s">
        <v>437</v>
      </c>
    </row>
    <row r="35" spans="1:5" s="307" customFormat="1">
      <c r="A35" s="309">
        <v>42447</v>
      </c>
      <c r="B35" s="307" t="s">
        <v>400</v>
      </c>
      <c r="C35" s="307" t="s">
        <v>386</v>
      </c>
      <c r="D35" s="307" t="s">
        <v>435</v>
      </c>
      <c r="E35" s="307" t="s">
        <v>436</v>
      </c>
    </row>
    <row r="36" spans="1:5" s="307" customFormat="1">
      <c r="A36" s="309">
        <v>42310</v>
      </c>
      <c r="B36" s="307" t="s">
        <v>413</v>
      </c>
      <c r="C36" s="307" t="s">
        <v>398</v>
      </c>
      <c r="D36" s="307" t="str">
        <f>ADDRESS(ROW(ELC_DEC!X98),COLUMN(ELC_DEC!X98),4,1)</f>
        <v>X98</v>
      </c>
      <c r="E36" s="307" t="s">
        <v>434</v>
      </c>
    </row>
    <row r="37" spans="1:5" s="307" customFormat="1">
      <c r="A37" s="309">
        <v>42310</v>
      </c>
      <c r="B37" s="307" t="s">
        <v>413</v>
      </c>
      <c r="C37" s="307" t="s">
        <v>386</v>
      </c>
      <c r="D37" s="307" t="str">
        <f>ADDRESS(ROW(ELC_CEN!X157),COLUMN(ELC_CEN!X157),4,1)</f>
        <v>X157</v>
      </c>
      <c r="E37" s="307" t="s">
        <v>434</v>
      </c>
    </row>
    <row r="38" spans="1:5" s="307" customFormat="1">
      <c r="A38" s="309">
        <v>42310</v>
      </c>
      <c r="B38" s="307" t="s">
        <v>413</v>
      </c>
      <c r="C38" s="307" t="s">
        <v>386</v>
      </c>
      <c r="D38" s="307" t="e">
        <f>ADDRESS(ROW(ELC_CEN!X87),COLUMN(ELC_CEN!X87),4,1)&amp;","&amp;ADDRESS(ROW(ELC_CEN!X88),COLUMN(ELC_CEN!X88),4,1)&amp;","&amp;ADDRESS(ROW(ELC_CEN!X89),COLUMN(ELC_CEN!X89),4,1)&amp;","&amp;ADDRESS(ROW(ELC_CEN!X90),COLUMN(ELC_CEN!X90)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X91),COLUMN(ELC_CEN!X91),4,1)&amp;","&amp;ADDRESS(ROW(ELC_CEN!X92),COLUMN(ELC_CEN!X92),4,1)&amp;","&amp;ADDRESS(ROW(ELC_CEN!X93),COLUMN(ELC_CEN!X93),4,1)&amp;","&amp;ADDRESS(ROW(ELC_CEN!X94),COLUMN(ELC_CEN!X94),4,1)&amp;","&amp;ADDRESS(ROW(ELC_CEN!X95),COLUMN(ELC_CEN!X95),4,1)&amp;","&amp;ADDRESS(ROW(ELC_CEN!X96),COLUMN(ELC_CEN!X96),4,1)&amp;","&amp;ADDRESS(ROW(ELC_CEN!X97),COLUMN(ELC_CEN!X97),4,1)&amp;","&amp;ADDRESS(ROW(ELC_CEN!X98),COLUMN(ELC_CEN!X98)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&amp;","&amp;ADDRESS(ROW(ELC_CEN!#REF!),COLUMN(ELC_CEN!#REF!),4,1)</f>
        <v>#REF!</v>
      </c>
      <c r="E38" s="307" t="s">
        <v>433</v>
      </c>
    </row>
    <row r="39" spans="1:5" s="307" customFormat="1">
      <c r="A39" s="309">
        <v>42262</v>
      </c>
      <c r="B39" s="307" t="s">
        <v>413</v>
      </c>
      <c r="C39" s="307" t="s">
        <v>386</v>
      </c>
      <c r="D39" s="307" t="str">
        <f>ADDRESS(ROW(ELC_CEN!AA99),COLUMN(ELC_CEN!AA99),4,1)&amp;","&amp;ADDRESS(ROW(ELC_CEN!AB99),COLUMN(ELC_CEN!AB99),4,1)&amp;","&amp;ADDRESS(ROW(ELC_CEN!AC99),COLUMN(ELC_CEN!AC99),4,1)&amp;","&amp;ADDRESS(ROW(ELC_CEN!AD99),COLUMN(ELC_CEN!AD99),4,1)&amp;","&amp;ADDRESS(ROW(ELC_CEN!AE99),COLUMN(ELC_CEN!AE99),4,1)&amp;","&amp;ADDRESS(ROW(ELC_CEN!AA100),COLUMN(ELC_CEN!AA100),4,1)&amp;","&amp;ADDRESS(ROW(ELC_CEN!AB100),COLUMN(ELC_CEN!AB100),4,1)&amp;","&amp;ADDRESS(ROW(ELC_CEN!AC100),COLUMN(ELC_CEN!AC100),4,1)&amp;","&amp;ADDRESS(ROW(ELC_CEN!AD100),COLUMN(ELC_CEN!AD100),4,1)&amp;","&amp;ADDRESS(ROW(ELC_CEN!AE100),COLUMN(ELC_CEN!AE100),4,1)&amp;","&amp;ADDRESS(ROW(ELC_CEN!AA101),COLUMN(ELC_CEN!AA101),4,1)&amp;","&amp;ADDRESS(ROW(ELC_CEN!AB101),COLUMN(ELC_CEN!AB101),4,1)&amp;","&amp;ADDRESS(ROW(ELC_CEN!AC101),COLUMN(ELC_CEN!AC101),4,1)&amp;","&amp;ADDRESS(ROW(ELC_CEN!AD101),COLUMN(ELC_CEN!AD101),4,1)&amp;","&amp;ADDRESS(ROW(ELC_CEN!AE101),COLUMN(ELC_CEN!AE101),4,1)&amp;","&amp;ADDRESS(ROW(ELC_CEN!AA102),COLUMN(ELC_CEN!AA102),4,1)&amp;","&amp;ADDRESS(ROW(ELC_CEN!AB102),COLUMN(ELC_CEN!AB102),4,1)&amp;","&amp;ADDRESS(ROW(ELC_CEN!AD102),COLUMN(ELC_CEN!AD102),4,1)&amp;","&amp;ADDRESS(ROW(ELC_CEN!AC102),COLUMN(ELC_CEN!AC102),4,1)&amp;","&amp;ADDRESS(ROW(ELC_CEN!AE102),COLUMN(ELC_CEN!AE102),4,1)</f>
        <v>AA99,AB99,AC99,AD99,AE99,AA100,AB100,AC100,AD100,AE100,AA101,AB101,AC101,AD101,AE101,AA102,AB102,AD102,AC102,AE102</v>
      </c>
      <c r="E39" s="307" t="s">
        <v>432</v>
      </c>
    </row>
    <row r="40" spans="1:5" s="307" customFormat="1">
      <c r="A40" s="309">
        <v>41974</v>
      </c>
      <c r="B40" s="307" t="s">
        <v>413</v>
      </c>
      <c r="C40" s="307" t="s">
        <v>386</v>
      </c>
      <c r="D40" s="307" t="str">
        <f>ADDRESS(ROW(ELC_CEN!AF51),COLUMN(ELC_CEN!AF51),4,1)</f>
        <v>AF51</v>
      </c>
      <c r="E40" s="307" t="s">
        <v>418</v>
      </c>
    </row>
    <row r="41" spans="1:5" s="307" customFormat="1">
      <c r="A41" s="309">
        <v>41909</v>
      </c>
      <c r="B41" s="307" t="s">
        <v>416</v>
      </c>
      <c r="C41" s="307" t="s">
        <v>398</v>
      </c>
      <c r="D41" s="307" t="str">
        <f>ADDRESS(ROW(ELC_CEN!AF12),COLUMN(ELC_CEN!AF12),4,1)</f>
        <v>AF12</v>
      </c>
      <c r="E41" s="310" t="s">
        <v>417</v>
      </c>
    </row>
    <row r="42" spans="1:5" s="307" customFormat="1">
      <c r="A42" s="309">
        <v>41909</v>
      </c>
      <c r="B42" s="307" t="s">
        <v>416</v>
      </c>
      <c r="C42" s="307" t="s">
        <v>386</v>
      </c>
      <c r="D42" s="307" t="str">
        <f>ADDRESS(ROW(ELC_CEN!AF12),COLUMN(ELC_CEN!AF12),4,1)</f>
        <v>AF12</v>
      </c>
      <c r="E42" s="310" t="s">
        <v>417</v>
      </c>
    </row>
    <row r="43" spans="1:5" s="307" customFormat="1">
      <c r="A43" s="309">
        <v>41908</v>
      </c>
      <c r="B43" s="307" t="s">
        <v>413</v>
      </c>
      <c r="C43" s="307" t="s">
        <v>386</v>
      </c>
      <c r="D43" s="307" t="str">
        <f>ADDRESS(ROW(ELC_CEN!AF51),COLUMN(ELC_CEN!AF51),4,1)</f>
        <v>AF51</v>
      </c>
      <c r="E43" s="310" t="s">
        <v>415</v>
      </c>
    </row>
    <row r="44" spans="1:5" s="307" customFormat="1">
      <c r="A44" s="309">
        <v>41907</v>
      </c>
      <c r="B44" s="307" t="s">
        <v>413</v>
      </c>
      <c r="C44" s="307" t="s">
        <v>386</v>
      </c>
      <c r="D44" s="307" t="str">
        <f>ADDRESS(ROW(ELC_CEN!K161),COLUMN(ELC_CEN!K161),4,1)&amp;","&amp;ADDRESS(ROW(ELC_CEN!K162),COLUMN(ELC_CEN!K162),4,1)&amp;","&amp;ADDRESS(ROW(ELC_CEN!K163),COLUMN(ELC_CEN!K163),4,1)&amp;","&amp;ADDRESS(ROW(ELC_CEN!K164),COLUMN(ELC_CEN!K164),4,1)</f>
        <v>K161,K162,K163,K164</v>
      </c>
      <c r="E44" s="310" t="s">
        <v>414</v>
      </c>
    </row>
    <row r="45" spans="1:5" s="307" customFormat="1">
      <c r="A45" s="309">
        <v>41900</v>
      </c>
      <c r="B45" s="307" t="s">
        <v>400</v>
      </c>
      <c r="C45" s="307" t="s">
        <v>398</v>
      </c>
      <c r="D45" s="307" t="str">
        <f>ADDRESS(ROW(ELC_DEC!A102),COLUMN(ELC_DEC!A102),4,1)&amp;":"&amp;ADDRESS(ROW(ELC_DEC!AF105),COLUMN(ELC_DEC!AF105),4,1)</f>
        <v>A102:AF105</v>
      </c>
      <c r="E45" s="310" t="s">
        <v>405</v>
      </c>
    </row>
    <row r="46" spans="1:5" s="307" customFormat="1">
      <c r="A46" s="309">
        <v>41900</v>
      </c>
      <c r="B46" s="307" t="s">
        <v>400</v>
      </c>
      <c r="C46" s="307" t="s">
        <v>386</v>
      </c>
      <c r="D46" s="307" t="str">
        <f>ADDRESS(ROW(ELC_CEN!A161),COLUMN(ELC_CEN!A161),4,1)&amp;":"&amp;ADDRESS(ROW(ELC_CEN!AF164),COLUMN(ELC_CEN!AF164),4,1)</f>
        <v>A161:AF164</v>
      </c>
      <c r="E46" s="310" t="s">
        <v>405</v>
      </c>
    </row>
    <row r="47" spans="1:5" s="307" customFormat="1">
      <c r="A47" s="309">
        <v>41900</v>
      </c>
      <c r="B47" s="307" t="s">
        <v>400</v>
      </c>
      <c r="C47" s="307" t="s">
        <v>386</v>
      </c>
      <c r="D47" s="307" t="str">
        <f>ADDRESS(ROW(ELC_CEN!AF14),COLUMN(ELC_CEN!AF14),4,1)</f>
        <v>AF14</v>
      </c>
      <c r="E47" s="310" t="s">
        <v>404</v>
      </c>
    </row>
    <row r="48" spans="1:5" s="307" customFormat="1">
      <c r="A48" s="309">
        <v>41900</v>
      </c>
      <c r="B48" s="307" t="s">
        <v>400</v>
      </c>
      <c r="C48" s="307" t="s">
        <v>398</v>
      </c>
      <c r="D48" s="307" t="str">
        <f>ADDRESS(ROW(ELC_DEC!AF12),COLUMN(ELC_DEC!AF12),4,1)</f>
        <v>AF12</v>
      </c>
      <c r="E48" s="310" t="s">
        <v>404</v>
      </c>
    </row>
    <row r="49" spans="1:6" s="299" customFormat="1">
      <c r="A49" s="309">
        <v>41900</v>
      </c>
      <c r="B49" s="307" t="s">
        <v>400</v>
      </c>
      <c r="C49" s="307" t="s">
        <v>398</v>
      </c>
      <c r="D49" s="307" t="str">
        <f>ADDRESS(ROW(ELC_DEC!T90),COLUMN(ELC_DEC!T90),4,1)&amp;":"&amp;ADDRESS(ROW(ELC_DEC!X93),COLUMN(ELC_DEC!X93),4,1)</f>
        <v>T90:X93</v>
      </c>
      <c r="E49" s="310" t="s">
        <v>406</v>
      </c>
    </row>
    <row r="50" spans="1:6" s="299" customFormat="1">
      <c r="A50" s="309">
        <v>41900</v>
      </c>
      <c r="B50" s="307" t="s">
        <v>400</v>
      </c>
      <c r="C50" s="307" t="s">
        <v>386</v>
      </c>
      <c r="D50" s="307" t="str">
        <f>ADDRESS(ROW(ELC_CEN!B161),COLUMN(ELC_CEN!B161),4,1)</f>
        <v>B161</v>
      </c>
      <c r="E50" s="310" t="s">
        <v>402</v>
      </c>
    </row>
    <row r="51" spans="1:6" s="299" customFormat="1">
      <c r="A51" s="309">
        <v>41900</v>
      </c>
      <c r="B51" s="307" t="s">
        <v>403</v>
      </c>
      <c r="C51" s="307" t="s">
        <v>398</v>
      </c>
      <c r="D51" s="307"/>
      <c r="E51" s="310" t="s">
        <v>431</v>
      </c>
    </row>
    <row r="52" spans="1:6" s="299" customFormat="1">
      <c r="A52" s="309">
        <v>41900</v>
      </c>
      <c r="B52" s="307" t="s">
        <v>400</v>
      </c>
      <c r="C52" s="307" t="s">
        <v>386</v>
      </c>
      <c r="D52" s="307" t="str">
        <f>ADDRESS(ROW(ELC_CEN!AF15),COLUMN(ELC_CEN!AF15),4,1)&amp;":"&amp;ADDRESS(ROW(ELC_CEN!AF160),COLUMN(ELC_CEN!AF160),4,1)</f>
        <v>AF15:AF160</v>
      </c>
      <c r="E52" s="310" t="s">
        <v>401</v>
      </c>
    </row>
    <row r="53" spans="1:6" s="299" customFormat="1">
      <c r="A53" s="309">
        <v>41899</v>
      </c>
      <c r="B53" s="307" t="s">
        <v>397</v>
      </c>
      <c r="C53" s="307" t="s">
        <v>386</v>
      </c>
      <c r="D53" s="307" t="s">
        <v>399</v>
      </c>
      <c r="E53" s="310" t="s">
        <v>396</v>
      </c>
      <c r="F53"/>
    </row>
    <row r="54" spans="1:6" s="299" customFormat="1">
      <c r="A54" s="309">
        <v>41899</v>
      </c>
      <c r="B54" s="307" t="s">
        <v>397</v>
      </c>
      <c r="C54" s="307" t="s">
        <v>398</v>
      </c>
      <c r="D54" s="307" t="s">
        <v>399</v>
      </c>
      <c r="E54" s="310" t="s">
        <v>396</v>
      </c>
      <c r="F54" s="259"/>
    </row>
    <row r="55" spans="1:6" s="299" customFormat="1" ht="28.8">
      <c r="A55" s="309" t="s">
        <v>389</v>
      </c>
      <c r="B55" s="307" t="s">
        <v>390</v>
      </c>
      <c r="C55" s="307" t="s">
        <v>386</v>
      </c>
      <c r="D55" s="307" t="s">
        <v>388</v>
      </c>
      <c r="E55" s="310" t="s">
        <v>387</v>
      </c>
      <c r="F55" s="259"/>
    </row>
    <row r="56" spans="1:6" s="299" customFormat="1">
      <c r="A56" s="309" t="s">
        <v>389</v>
      </c>
      <c r="B56" s="307" t="s">
        <v>390</v>
      </c>
      <c r="C56" s="307" t="s">
        <v>386</v>
      </c>
      <c r="D56" s="307" t="s">
        <v>392</v>
      </c>
      <c r="E56" s="310" t="s">
        <v>391</v>
      </c>
      <c r="F56"/>
    </row>
    <row r="57" spans="1:6" s="299" customFormat="1"/>
    <row r="58" spans="1:6" s="299" customFormat="1"/>
    <row r="59" spans="1:6" s="299" customFormat="1"/>
    <row r="60" spans="1:6" s="299" customFormat="1"/>
    <row r="61" spans="1:6" s="299" customFormat="1"/>
    <row r="62" spans="1:6" s="299" customFormat="1"/>
    <row r="63" spans="1:6" s="299" customFormat="1"/>
    <row r="64" spans="1:6">
      <c r="A64" s="299"/>
      <c r="B64" s="299"/>
      <c r="C64" s="299"/>
      <c r="D64" s="299"/>
      <c r="E64" s="299"/>
    </row>
    <row r="69" spans="4:4" ht="15.6">
      <c r="D69" s="260"/>
    </row>
    <row r="70" spans="4:4" ht="15.6">
      <c r="D70" s="260"/>
    </row>
    <row r="71" spans="4:4" ht="15.6">
      <c r="D71" s="260"/>
    </row>
    <row r="72" spans="4:4" ht="15.6">
      <c r="D72" s="260"/>
    </row>
    <row r="73" spans="4:4" ht="15.6">
      <c r="D73" s="260"/>
    </row>
    <row r="74" spans="4:4" ht="15.6">
      <c r="D74" s="260"/>
    </row>
    <row r="75" spans="4:4" ht="15.6">
      <c r="D75" s="260"/>
    </row>
    <row r="76" spans="4:4" ht="15.6">
      <c r="D76" s="260"/>
    </row>
    <row r="77" spans="4:4" ht="15.6">
      <c r="D77" s="260"/>
    </row>
    <row r="78" spans="4:4" ht="15.6">
      <c r="D78" s="260"/>
    </row>
  </sheetData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B1:C18"/>
  <sheetViews>
    <sheetView workbookViewId="0">
      <selection activeCell="C19" sqref="C19"/>
    </sheetView>
  </sheetViews>
  <sheetFormatPr defaultColWidth="9.109375" defaultRowHeight="13.8"/>
  <cols>
    <col min="1" max="1" width="9.109375" style="345"/>
    <col min="2" max="2" width="24" style="345" bestFit="1" customWidth="1"/>
    <col min="3" max="3" width="138.44140625" style="345" customWidth="1"/>
    <col min="4" max="16384" width="9.109375" style="345"/>
  </cols>
  <sheetData>
    <row r="1" spans="2:3" ht="18">
      <c r="B1" s="344" t="s">
        <v>528</v>
      </c>
    </row>
    <row r="3" spans="2:3" ht="14.4">
      <c r="B3" s="346" t="s">
        <v>529</v>
      </c>
      <c r="C3" s="345" t="s">
        <v>533</v>
      </c>
    </row>
    <row r="4" spans="2:3" ht="14.4">
      <c r="B4" s="346" t="s">
        <v>530</v>
      </c>
      <c r="C4" s="345" t="s">
        <v>534</v>
      </c>
    </row>
    <row r="5" spans="2:3" ht="14.4">
      <c r="B5" s="346"/>
    </row>
    <row r="6" spans="2:3" ht="14.4">
      <c r="B6" s="346" t="s">
        <v>531</v>
      </c>
      <c r="C6" s="345" t="s">
        <v>278</v>
      </c>
    </row>
    <row r="7" spans="2:3" ht="14.4">
      <c r="B7" s="346"/>
    </row>
    <row r="8" spans="2:3" ht="14.4">
      <c r="B8" s="347" t="s">
        <v>532</v>
      </c>
    </row>
    <row r="9" spans="2:3" ht="14.4">
      <c r="B9" s="346"/>
    </row>
    <row r="10" spans="2:3" ht="14.4">
      <c r="B10" s="348" t="s">
        <v>496</v>
      </c>
      <c r="C10" s="349" t="s">
        <v>535</v>
      </c>
    </row>
    <row r="11" spans="2:3" ht="14.4">
      <c r="B11" s="348" t="s">
        <v>536</v>
      </c>
      <c r="C11" s="349" t="s">
        <v>537</v>
      </c>
    </row>
    <row r="12" spans="2:3" ht="14.4">
      <c r="B12" s="348" t="s">
        <v>386</v>
      </c>
      <c r="C12" s="349" t="s">
        <v>543</v>
      </c>
    </row>
    <row r="13" spans="2:3" ht="14.4">
      <c r="B13" s="348" t="s">
        <v>398</v>
      </c>
      <c r="C13" s="349" t="s">
        <v>544</v>
      </c>
    </row>
    <row r="14" spans="2:3" ht="14.4">
      <c r="B14" s="348" t="s">
        <v>538</v>
      </c>
      <c r="C14" s="345" t="s">
        <v>545</v>
      </c>
    </row>
    <row r="15" spans="2:3" ht="14.4">
      <c r="B15" s="348" t="s">
        <v>539</v>
      </c>
      <c r="C15" s="345" t="s">
        <v>546</v>
      </c>
    </row>
    <row r="16" spans="2:3">
      <c r="B16" s="350" t="s">
        <v>540</v>
      </c>
      <c r="C16" s="345" t="s">
        <v>547</v>
      </c>
    </row>
    <row r="17" spans="2:3">
      <c r="B17" s="350" t="s">
        <v>541</v>
      </c>
      <c r="C17" s="345" t="s">
        <v>548</v>
      </c>
    </row>
    <row r="18" spans="2:3">
      <c r="B18" s="350" t="s">
        <v>542</v>
      </c>
      <c r="C18" s="345" t="s">
        <v>549</v>
      </c>
    </row>
  </sheetData>
  <conditionalFormatting sqref="C3">
    <cfRule type="cellIs" dxfId="8" priority="1" operator="equal">
      <formula>"No"</formula>
    </cfRule>
    <cfRule type="cellIs" dxfId="7" priority="2" operator="equal">
      <formula>"Yes"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B2:I10"/>
  <sheetViews>
    <sheetView workbookViewId="0">
      <selection activeCell="C7" sqref="C7"/>
    </sheetView>
  </sheetViews>
  <sheetFormatPr defaultColWidth="7.44140625" defaultRowHeight="14.4"/>
  <cols>
    <col min="2" max="3" width="17.88671875" customWidth="1"/>
    <col min="4" max="4" width="29.33203125" bestFit="1" customWidth="1"/>
    <col min="5" max="9" width="17.88671875" customWidth="1"/>
  </cols>
  <sheetData>
    <row r="2" spans="2:9">
      <c r="B2" s="267" t="s">
        <v>69</v>
      </c>
      <c r="C2" s="281"/>
      <c r="D2" s="281"/>
      <c r="E2" s="281"/>
      <c r="F2" s="281"/>
      <c r="G2" s="281"/>
      <c r="H2" s="281"/>
      <c r="I2" s="281"/>
    </row>
    <row r="3" spans="2:9">
      <c r="B3" s="282" t="s">
        <v>70</v>
      </c>
      <c r="C3" s="282" t="s">
        <v>71</v>
      </c>
      <c r="D3" s="282" t="s">
        <v>72</v>
      </c>
      <c r="E3" s="283" t="s">
        <v>73</v>
      </c>
      <c r="F3" s="283" t="s">
        <v>74</v>
      </c>
      <c r="G3" s="283" t="s">
        <v>75</v>
      </c>
      <c r="H3" s="283" t="s">
        <v>76</v>
      </c>
      <c r="I3" s="283" t="s">
        <v>77</v>
      </c>
    </row>
    <row r="4" spans="2:9" ht="29.4" thickBot="1">
      <c r="B4" s="284" t="s">
        <v>78</v>
      </c>
      <c r="C4" s="284" t="s">
        <v>79</v>
      </c>
      <c r="D4" s="284" t="s">
        <v>80</v>
      </c>
      <c r="E4" s="284" t="s">
        <v>73</v>
      </c>
      <c r="F4" s="284" t="s">
        <v>81</v>
      </c>
      <c r="G4" s="284" t="s">
        <v>82</v>
      </c>
      <c r="H4" s="284" t="s">
        <v>83</v>
      </c>
      <c r="I4" s="284" t="s">
        <v>84</v>
      </c>
    </row>
    <row r="5" spans="2:9">
      <c r="B5" s="271" t="s">
        <v>85</v>
      </c>
      <c r="C5" s="271" t="s">
        <v>199</v>
      </c>
      <c r="D5" s="271" t="s">
        <v>309</v>
      </c>
      <c r="E5" s="271" t="s">
        <v>86</v>
      </c>
      <c r="F5" s="271"/>
      <c r="G5" s="271"/>
      <c r="H5" s="271"/>
      <c r="I5" s="271"/>
    </row>
    <row r="6" spans="2:9">
      <c r="B6" s="271"/>
      <c r="C6" s="271" t="str">
        <f>ELC_CEN!D173</f>
        <v>ELCSTM</v>
      </c>
      <c r="D6" s="271" t="s">
        <v>332</v>
      </c>
      <c r="E6" s="271" t="s">
        <v>86</v>
      </c>
      <c r="F6" s="271"/>
      <c r="G6" s="271"/>
      <c r="H6" s="271"/>
      <c r="I6" s="271"/>
    </row>
    <row r="7" spans="2:9">
      <c r="B7" s="271" t="s">
        <v>91</v>
      </c>
      <c r="C7" s="271" t="s">
        <v>29</v>
      </c>
      <c r="D7" s="271" t="s">
        <v>89</v>
      </c>
      <c r="E7" s="271" t="s">
        <v>92</v>
      </c>
      <c r="F7" s="271"/>
      <c r="G7" s="271"/>
      <c r="H7" s="271"/>
      <c r="I7" s="271"/>
    </row>
    <row r="8" spans="2:9">
      <c r="B8" s="271"/>
      <c r="C8" s="271" t="s">
        <v>30</v>
      </c>
      <c r="D8" s="271" t="s">
        <v>87</v>
      </c>
      <c r="E8" s="271" t="s">
        <v>92</v>
      </c>
      <c r="F8" s="271"/>
      <c r="G8" s="271"/>
      <c r="H8" s="271"/>
      <c r="I8" s="271"/>
    </row>
    <row r="9" spans="2:9">
      <c r="B9" s="271"/>
      <c r="C9" s="271" t="s">
        <v>31</v>
      </c>
      <c r="D9" s="271" t="s">
        <v>88</v>
      </c>
      <c r="E9" s="271" t="s">
        <v>92</v>
      </c>
      <c r="F9" s="271"/>
      <c r="G9" s="271"/>
      <c r="H9" s="271"/>
      <c r="I9" s="271"/>
    </row>
    <row r="10" spans="2:9">
      <c r="B10" s="271"/>
      <c r="C10" s="274" t="s">
        <v>307</v>
      </c>
      <c r="D10" s="274" t="s">
        <v>90</v>
      </c>
      <c r="E10" s="274" t="s">
        <v>92</v>
      </c>
      <c r="F10" s="271"/>
      <c r="G10" s="271"/>
      <c r="H10" s="271"/>
      <c r="I10" s="27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B3:I57"/>
  <sheetViews>
    <sheetView topLeftCell="A13" workbookViewId="0">
      <selection activeCell="D38" sqref="D38"/>
    </sheetView>
  </sheetViews>
  <sheetFormatPr defaultColWidth="7.44140625" defaultRowHeight="14.4"/>
  <cols>
    <col min="2" max="2" width="14.44140625" customWidth="1"/>
    <col min="3" max="3" width="18.44140625" bestFit="1" customWidth="1"/>
    <col min="4" max="4" width="85.33203125" bestFit="1" customWidth="1"/>
    <col min="5" max="5" width="7.6640625" bestFit="1" customWidth="1"/>
    <col min="6" max="6" width="8.4414062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9">
      <c r="B3" s="267" t="s">
        <v>49</v>
      </c>
      <c r="C3" s="268"/>
      <c r="D3" s="268"/>
      <c r="E3" s="268"/>
      <c r="F3" s="268"/>
      <c r="G3" s="268"/>
      <c r="H3" s="268"/>
      <c r="I3" s="268"/>
    </row>
    <row r="4" spans="2:9">
      <c r="B4" s="269" t="s">
        <v>50</v>
      </c>
      <c r="C4" s="269" t="s">
        <v>1</v>
      </c>
      <c r="D4" s="269" t="s">
        <v>51</v>
      </c>
      <c r="E4" s="269" t="s">
        <v>52</v>
      </c>
      <c r="F4" s="269" t="s">
        <v>53</v>
      </c>
      <c r="G4" s="269" t="s">
        <v>54</v>
      </c>
      <c r="H4" s="269" t="s">
        <v>55</v>
      </c>
      <c r="I4" s="269" t="s">
        <v>56</v>
      </c>
    </row>
    <row r="5" spans="2:9" ht="28.8">
      <c r="B5" s="270" t="s">
        <v>57</v>
      </c>
      <c r="C5" s="270" t="s">
        <v>58</v>
      </c>
      <c r="D5" s="270" t="s">
        <v>59</v>
      </c>
      <c r="E5" s="270" t="s">
        <v>60</v>
      </c>
      <c r="F5" s="270" t="s">
        <v>61</v>
      </c>
      <c r="G5" s="270" t="s">
        <v>62</v>
      </c>
      <c r="H5" s="270" t="s">
        <v>63</v>
      </c>
      <c r="I5" s="270" t="s">
        <v>64</v>
      </c>
    </row>
    <row r="6" spans="2:9">
      <c r="B6" s="271" t="s">
        <v>65</v>
      </c>
      <c r="C6" s="272" t="str">
        <f>ELC_CEN!A15</f>
        <v>ECCOAAPEXC5N</v>
      </c>
      <c r="D6" s="272" t="s">
        <v>139</v>
      </c>
      <c r="E6" s="273" t="s">
        <v>86</v>
      </c>
      <c r="F6" s="273" t="s">
        <v>20</v>
      </c>
      <c r="G6" s="293"/>
      <c r="H6" s="271"/>
      <c r="I6" s="271" t="s">
        <v>68</v>
      </c>
    </row>
    <row r="7" spans="2:9">
      <c r="B7" s="275"/>
      <c r="C7" s="272" t="str">
        <f>ELC_CEN!A19</f>
        <v>ECCPWAPEXC5N</v>
      </c>
      <c r="D7" s="272" t="s">
        <v>140</v>
      </c>
      <c r="E7" s="273" t="s">
        <v>86</v>
      </c>
      <c r="F7" s="273" t="s">
        <v>20</v>
      </c>
      <c r="G7" s="293"/>
      <c r="H7" s="271"/>
      <c r="I7" s="271" t="s">
        <v>68</v>
      </c>
    </row>
    <row r="8" spans="2:9">
      <c r="B8" s="275"/>
      <c r="C8" s="272" t="str">
        <f>ELC_CEN!A23</f>
        <v>ECNGAAPEXC5N</v>
      </c>
      <c r="D8" s="272" t="s">
        <v>141</v>
      </c>
      <c r="E8" s="273" t="s">
        <v>86</v>
      </c>
      <c r="F8" s="273" t="s">
        <v>20</v>
      </c>
      <c r="G8" s="293"/>
      <c r="H8" s="271"/>
      <c r="I8" s="271" t="s">
        <v>68</v>
      </c>
    </row>
    <row r="9" spans="2:9">
      <c r="B9" s="275"/>
      <c r="C9" s="272" t="str">
        <f>ELC_CEN!A27</f>
        <v>ECNGAGTBPC5N</v>
      </c>
      <c r="D9" s="272" t="s">
        <v>142</v>
      </c>
      <c r="E9" s="273" t="s">
        <v>86</v>
      </c>
      <c r="F9" s="273" t="s">
        <v>20</v>
      </c>
      <c r="G9" s="293"/>
      <c r="H9" s="271"/>
      <c r="I9" s="271" t="s">
        <v>68</v>
      </c>
    </row>
    <row r="10" spans="2:9">
      <c r="B10" s="275"/>
      <c r="C10" s="272" t="str">
        <f>ELC_CEN!A31</f>
        <v>ECNGAGTBPC6N</v>
      </c>
      <c r="D10" s="272" t="s">
        <v>143</v>
      </c>
      <c r="E10" s="273" t="s">
        <v>86</v>
      </c>
      <c r="F10" s="273" t="s">
        <v>20</v>
      </c>
      <c r="G10" s="293"/>
      <c r="H10" s="271"/>
      <c r="I10" s="271" t="s">
        <v>68</v>
      </c>
    </row>
    <row r="11" spans="2:9">
      <c r="B11" s="275"/>
      <c r="C11" s="272" t="str">
        <f>ELC_CEN!A35</f>
        <v>ECNGAGTBPC7N</v>
      </c>
      <c r="D11" s="272" t="s">
        <v>144</v>
      </c>
      <c r="E11" s="273" t="s">
        <v>86</v>
      </c>
      <c r="F11" s="273" t="s">
        <v>20</v>
      </c>
      <c r="G11" s="293"/>
      <c r="H11" s="271"/>
      <c r="I11" s="271" t="s">
        <v>68</v>
      </c>
    </row>
    <row r="12" spans="2:9">
      <c r="B12" s="275"/>
      <c r="C12" s="272" t="str">
        <f>ELC_CEN!A39</f>
        <v>ECNGAGTEXC5N</v>
      </c>
      <c r="D12" s="272" t="s">
        <v>146</v>
      </c>
      <c r="E12" s="273" t="s">
        <v>86</v>
      </c>
      <c r="F12" s="273" t="s">
        <v>20</v>
      </c>
      <c r="G12" s="293"/>
      <c r="H12" s="271"/>
      <c r="I12" s="271" t="s">
        <v>68</v>
      </c>
    </row>
    <row r="13" spans="2:9">
      <c r="B13" s="275"/>
      <c r="C13" s="440" t="str">
        <f>ELC_CEN!A43</f>
        <v>ECNGACCYBPC5N</v>
      </c>
      <c r="D13" s="272" t="s">
        <v>206</v>
      </c>
      <c r="E13" s="273" t="s">
        <v>86</v>
      </c>
      <c r="F13" s="273" t="s">
        <v>20</v>
      </c>
      <c r="G13" s="293"/>
      <c r="H13" s="271"/>
      <c r="I13" s="271" t="s">
        <v>68</v>
      </c>
    </row>
    <row r="14" spans="2:9">
      <c r="B14" s="275"/>
      <c r="C14" s="272" t="str">
        <f>ELC_CEN!A47</f>
        <v>ECNGAGEBPC5N</v>
      </c>
      <c r="D14" s="272" t="s">
        <v>147</v>
      </c>
      <c r="E14" s="273" t="s">
        <v>86</v>
      </c>
      <c r="F14" s="273" t="s">
        <v>20</v>
      </c>
      <c r="G14" s="293"/>
      <c r="H14" s="271"/>
      <c r="I14" s="271" t="s">
        <v>68</v>
      </c>
    </row>
    <row r="15" spans="2:9" ht="16.5" customHeight="1">
      <c r="B15" s="275"/>
      <c r="C15" s="272" t="str">
        <f>ELC_CEN!A51</f>
        <v>ECWSTBPC5N</v>
      </c>
      <c r="D15" s="272" t="s">
        <v>148</v>
      </c>
      <c r="E15" s="273" t="s">
        <v>86</v>
      </c>
      <c r="F15" s="273" t="s">
        <v>20</v>
      </c>
      <c r="G15" s="293"/>
      <c r="H15" s="271"/>
      <c r="I15" s="271" t="s">
        <v>68</v>
      </c>
    </row>
    <row r="16" spans="2:9" s="367" customFormat="1" ht="16.5" customHeight="1">
      <c r="B16" s="275"/>
      <c r="C16" s="376" t="str">
        <f>ELC_CEN!A55</f>
        <v>ECWSTBPC6N</v>
      </c>
      <c r="D16" s="376" t="s">
        <v>148</v>
      </c>
      <c r="E16" s="377" t="s">
        <v>86</v>
      </c>
      <c r="F16" s="377" t="s">
        <v>20</v>
      </c>
      <c r="G16" s="293"/>
      <c r="H16" s="375"/>
      <c r="I16" s="375" t="s">
        <v>68</v>
      </c>
    </row>
    <row r="17" spans="2:9" s="367" customFormat="1" ht="16.5" customHeight="1">
      <c r="B17" s="275"/>
      <c r="C17" s="376" t="str">
        <f>ELC_CEN!A59</f>
        <v>ECWSTBPC7N</v>
      </c>
      <c r="D17" s="376" t="s">
        <v>148</v>
      </c>
      <c r="E17" s="377" t="s">
        <v>86</v>
      </c>
      <c r="F17" s="377" t="s">
        <v>20</v>
      </c>
      <c r="G17" s="293"/>
      <c r="H17" s="375"/>
      <c r="I17" s="375" t="s">
        <v>68</v>
      </c>
    </row>
    <row r="18" spans="2:9" s="367" customFormat="1">
      <c r="B18" s="275"/>
      <c r="C18" s="376" t="str">
        <f>ELC_CEN!A63</f>
        <v>ECCPWSTBPC5N</v>
      </c>
      <c r="D18" s="376" t="s">
        <v>207</v>
      </c>
      <c r="E18" s="377" t="s">
        <v>86</v>
      </c>
      <c r="F18" s="377" t="s">
        <v>20</v>
      </c>
      <c r="G18" s="293"/>
      <c r="H18" s="375"/>
      <c r="I18" s="375" t="s">
        <v>68</v>
      </c>
    </row>
    <row r="19" spans="2:9">
      <c r="B19" s="275"/>
      <c r="C19" s="272" t="str">
        <f>ELC_CEN!A67</f>
        <v>ECCPWSTBPC6N</v>
      </c>
      <c r="D19" s="272" t="s">
        <v>207</v>
      </c>
      <c r="E19" s="273" t="s">
        <v>86</v>
      </c>
      <c r="F19" s="273" t="s">
        <v>20</v>
      </c>
      <c r="G19" s="293"/>
      <c r="H19" s="271"/>
      <c r="I19" s="271" t="s">
        <v>68</v>
      </c>
    </row>
    <row r="20" spans="2:9">
      <c r="B20" s="275"/>
      <c r="C20" s="272" t="str">
        <f>ELC_CEN!A71</f>
        <v>ECCPWSTBPC7N</v>
      </c>
      <c r="D20" s="272" t="s">
        <v>149</v>
      </c>
      <c r="E20" s="273" t="s">
        <v>86</v>
      </c>
      <c r="F20" s="273" t="s">
        <v>20</v>
      </c>
      <c r="G20" s="293"/>
      <c r="H20" s="271"/>
      <c r="I20" s="271" t="s">
        <v>68</v>
      </c>
    </row>
    <row r="21" spans="2:9" s="367" customFormat="1">
      <c r="B21" s="275"/>
      <c r="C21" s="376" t="str">
        <f>ELC_CEN!A75</f>
        <v>ECSTRSTBPC5N</v>
      </c>
      <c r="D21" s="376" t="s">
        <v>216</v>
      </c>
      <c r="E21" s="377" t="s">
        <v>86</v>
      </c>
      <c r="F21" s="377" t="s">
        <v>20</v>
      </c>
      <c r="G21" s="293"/>
      <c r="H21" s="375"/>
      <c r="I21" s="375" t="s">
        <v>68</v>
      </c>
    </row>
    <row r="22" spans="2:9">
      <c r="B22" s="275"/>
      <c r="C22" s="272" t="str">
        <f>ELC_CEN!A79</f>
        <v>ECSTRSTBPC6N</v>
      </c>
      <c r="D22" s="272" t="s">
        <v>216</v>
      </c>
      <c r="E22" s="273" t="s">
        <v>86</v>
      </c>
      <c r="F22" s="273" t="s">
        <v>20</v>
      </c>
      <c r="G22" s="293"/>
      <c r="H22" s="271"/>
      <c r="I22" s="271" t="s">
        <v>68</v>
      </c>
    </row>
    <row r="23" spans="2:9">
      <c r="B23" s="275"/>
      <c r="C23" s="272" t="str">
        <f>ELC_CEN!A83</f>
        <v>ECSTRSTBPC7N</v>
      </c>
      <c r="D23" s="272" t="s">
        <v>150</v>
      </c>
      <c r="E23" s="273" t="s">
        <v>86</v>
      </c>
      <c r="F23" s="273" t="s">
        <v>20</v>
      </c>
      <c r="G23" s="293"/>
      <c r="H23" s="271"/>
      <c r="I23" s="271" t="s">
        <v>68</v>
      </c>
    </row>
    <row r="24" spans="2:9">
      <c r="B24" s="271" t="s">
        <v>66</v>
      </c>
      <c r="C24" s="272" t="str">
        <f>ELC_CEN!A87</f>
        <v>ERWINELCWIN1N</v>
      </c>
      <c r="D24" s="272" t="str">
        <f>ELC_CEN!B87</f>
        <v>20  Wind Turbines Onshore - Large</v>
      </c>
      <c r="E24" s="273" t="s">
        <v>86</v>
      </c>
      <c r="F24" s="273" t="s">
        <v>20</v>
      </c>
      <c r="G24" s="293"/>
      <c r="H24" s="271"/>
      <c r="I24" s="271" t="s">
        <v>68</v>
      </c>
    </row>
    <row r="25" spans="2:9">
      <c r="B25" s="275"/>
      <c r="C25" s="272" t="str">
        <f>ELC_CEN!A91</f>
        <v>ERWINELCWIN5N</v>
      </c>
      <c r="D25" s="376" t="str">
        <f>ELC_CEN!B91</f>
        <v>21  Wind Turbines Offshore</v>
      </c>
      <c r="E25" s="273" t="s">
        <v>86</v>
      </c>
      <c r="F25" s="273" t="s">
        <v>20</v>
      </c>
      <c r="G25" s="293"/>
      <c r="H25" s="271"/>
      <c r="I25" s="271" t="s">
        <v>68</v>
      </c>
    </row>
    <row r="26" spans="2:9">
      <c r="B26" s="275"/>
      <c r="C26" s="272" t="str">
        <f>ELC_CEN!A95</f>
        <v>ERSOLPV5N</v>
      </c>
      <c r="D26" s="272" t="str">
        <f>ELC_CEN!B95</f>
        <v>22  Solar Photovoltaic Cells, Grid-connected Systems</v>
      </c>
      <c r="E26" s="273" t="s">
        <v>86</v>
      </c>
      <c r="F26" s="273" t="s">
        <v>20</v>
      </c>
      <c r="G26" s="293"/>
      <c r="H26" s="271"/>
      <c r="I26" s="271" t="s">
        <v>68</v>
      </c>
    </row>
    <row r="27" spans="2:9">
      <c r="B27" s="275"/>
      <c r="C27" s="272" t="str">
        <f>ELC_CEN!A99</f>
        <v>ERWAV1N</v>
      </c>
      <c r="D27" s="376" t="str">
        <f>ELC_CEN!B99</f>
        <v>23  Wave Power</v>
      </c>
      <c r="E27" s="273" t="s">
        <v>86</v>
      </c>
      <c r="F27" s="273" t="s">
        <v>20</v>
      </c>
      <c r="G27" s="293"/>
      <c r="H27" s="271"/>
      <c r="I27" s="271" t="s">
        <v>68</v>
      </c>
    </row>
    <row r="28" spans="2:9" s="367" customFormat="1">
      <c r="B28" s="275" t="s">
        <v>65</v>
      </c>
      <c r="C28" s="376" t="str">
        <f>ELC_CEN!A103</f>
        <v>ECFCSO1N</v>
      </c>
      <c r="D28" s="376" t="str">
        <f>ELC_CEN!B103</f>
        <v>30 Solid Oxide Fuel Cells - Continuous power generation</v>
      </c>
      <c r="E28" s="377" t="s">
        <v>86</v>
      </c>
      <c r="F28" s="377" t="s">
        <v>20</v>
      </c>
      <c r="G28" s="293"/>
      <c r="H28" s="375"/>
      <c r="I28" s="375" t="s">
        <v>68</v>
      </c>
    </row>
    <row r="29" spans="2:9" s="367" customFormat="1">
      <c r="B29" s="275" t="s">
        <v>65</v>
      </c>
      <c r="C29" s="376" t="str">
        <f>ELC_CEN!A108</f>
        <v>ECFCPM1N</v>
      </c>
      <c r="D29" s="376" t="str">
        <f>ELC_CEN!B108</f>
        <v>31 Proton Exchange Membrane Fuel Cells - Continuous Power Generation</v>
      </c>
      <c r="E29" s="377" t="s">
        <v>86</v>
      </c>
      <c r="F29" s="377" t="s">
        <v>20</v>
      </c>
      <c r="G29" s="293"/>
      <c r="H29" s="375"/>
      <c r="I29" s="375" t="s">
        <v>68</v>
      </c>
    </row>
    <row r="30" spans="2:9">
      <c r="B30" s="271" t="s">
        <v>67</v>
      </c>
      <c r="C30" s="276" t="str">
        <f>ELC_CEN!A113</f>
        <v>EHELCAMBHPC5N</v>
      </c>
      <c r="D30" s="378" t="str">
        <f>ELC_CEN!B113</f>
        <v>40 Large Heat Pumps - Ambient Temperature centralised</v>
      </c>
      <c r="E30" s="273" t="s">
        <v>86</v>
      </c>
      <c r="F30" s="273" t="s">
        <v>20</v>
      </c>
      <c r="G30" s="294" t="s">
        <v>394</v>
      </c>
      <c r="H30" s="271"/>
      <c r="I30" s="271" t="s">
        <v>68</v>
      </c>
    </row>
    <row r="31" spans="2:9" s="367" customFormat="1">
      <c r="B31" s="375"/>
      <c r="C31" s="430" t="str">
        <f>ELC_CEN!A117</f>
        <v>*EHFGCHP7N</v>
      </c>
      <c r="D31" s="421" t="str">
        <f>ELC_CEN!B117</f>
        <v>40  Absorption Heat Pumps - Flue Gas Condensation centralised</v>
      </c>
      <c r="E31" s="409" t="s">
        <v>86</v>
      </c>
      <c r="F31" s="409" t="s">
        <v>20</v>
      </c>
      <c r="G31" s="431" t="s">
        <v>394</v>
      </c>
      <c r="H31" s="375"/>
      <c r="I31" s="436" t="s">
        <v>68</v>
      </c>
    </row>
    <row r="32" spans="2:9">
      <c r="B32" s="275"/>
      <c r="C32" s="272" t="str">
        <f>ELC_CEN!A121</f>
        <v>EHELCEB5N01</v>
      </c>
      <c r="D32" s="376" t="str">
        <f>ELC_CEN!B121</f>
        <v>41  Electric Boilers centralised - 1 MW</v>
      </c>
      <c r="E32" s="273" t="s">
        <v>86</v>
      </c>
      <c r="F32" s="273" t="s">
        <v>20</v>
      </c>
      <c r="G32" s="294" t="s">
        <v>394</v>
      </c>
      <c r="H32" s="271"/>
      <c r="I32" s="271" t="s">
        <v>68</v>
      </c>
    </row>
    <row r="33" spans="2:9" s="367" customFormat="1">
      <c r="B33" s="275"/>
      <c r="C33" s="376" t="str">
        <f>ELC_CEN!A125</f>
        <v>EHELCEB5N10</v>
      </c>
      <c r="D33" s="376" t="str">
        <f>ELC_CEN!B125</f>
        <v>41  Electric Boilers centralised - 10 MW</v>
      </c>
      <c r="E33" s="377" t="s">
        <v>86</v>
      </c>
      <c r="F33" s="377" t="s">
        <v>20</v>
      </c>
      <c r="G33" s="385" t="s">
        <v>394</v>
      </c>
      <c r="H33" s="375"/>
      <c r="I33" s="375" t="s">
        <v>68</v>
      </c>
    </row>
    <row r="34" spans="2:9">
      <c r="B34" s="275"/>
      <c r="C34" s="272" t="str">
        <f>ELC_CEN!A129</f>
        <v>EHCPWBOC5N</v>
      </c>
      <c r="D34" s="376" t="str">
        <f>ELC_CEN!B129</f>
        <v>43  District Heating Boiler, Biomass Fired - Wood Chips centralised</v>
      </c>
      <c r="E34" s="273" t="s">
        <v>86</v>
      </c>
      <c r="F34" s="273" t="s">
        <v>20</v>
      </c>
      <c r="G34" s="294" t="s">
        <v>394</v>
      </c>
      <c r="H34" s="271"/>
      <c r="I34" s="271" t="s">
        <v>68</v>
      </c>
    </row>
    <row r="35" spans="2:9">
      <c r="B35" s="275"/>
      <c r="C35" s="272" t="str">
        <f>ELC_CEN!A133</f>
        <v>EHSTRBOC6N</v>
      </c>
      <c r="D35" s="272" t="s">
        <v>157</v>
      </c>
      <c r="E35" s="273" t="s">
        <v>86</v>
      </c>
      <c r="F35" s="273" t="s">
        <v>20</v>
      </c>
      <c r="G35" s="294" t="s">
        <v>394</v>
      </c>
      <c r="H35" s="271"/>
      <c r="I35" s="271" t="s">
        <v>68</v>
      </c>
    </row>
    <row r="36" spans="2:9">
      <c r="B36" s="275"/>
      <c r="C36" s="376" t="str">
        <f>ELC_CEN!A137</f>
        <v>EHWPEBOC5N</v>
      </c>
      <c r="D36" s="376" t="str">
        <f>ELC_CEN!B137</f>
        <v>43XX  District Heating Boiler, Biomass Fired - wood pellets centralised</v>
      </c>
      <c r="E36" s="273" t="s">
        <v>86</v>
      </c>
      <c r="F36" s="273" t="s">
        <v>20</v>
      </c>
      <c r="G36" s="294" t="s">
        <v>394</v>
      </c>
      <c r="H36" s="271"/>
      <c r="I36" s="271" t="s">
        <v>68</v>
      </c>
    </row>
    <row r="37" spans="2:9">
      <c r="B37" s="275"/>
      <c r="C37" s="272" t="str">
        <f>ELC_CEN!A141</f>
        <v>EHNGABOC5N</v>
      </c>
      <c r="D37" s="376" t="str">
        <f>ELC_CEN!B141</f>
        <v>44  District Heating Boiler, Gas Fired centralised</v>
      </c>
      <c r="E37" s="273" t="s">
        <v>86</v>
      </c>
      <c r="F37" s="273" t="s">
        <v>20</v>
      </c>
      <c r="G37" s="294" t="s">
        <v>394</v>
      </c>
      <c r="H37" s="271"/>
      <c r="I37" s="271" t="s">
        <v>68</v>
      </c>
    </row>
    <row r="38" spans="2:9">
      <c r="B38" s="275"/>
      <c r="C38" s="272" t="str">
        <f>ELC_CEN!A145</f>
        <v>EHGEOAHC5N</v>
      </c>
      <c r="D38" s="376" t="str">
        <f>ELC_CEN!B145</f>
        <v>45  Geothermal District Heating - Absorption Heat Pump - 70 C centralised</v>
      </c>
      <c r="E38" s="273" t="s">
        <v>86</v>
      </c>
      <c r="F38" s="273" t="s">
        <v>20</v>
      </c>
      <c r="G38" s="294" t="s">
        <v>394</v>
      </c>
      <c r="H38" s="271"/>
      <c r="I38" s="271" t="s">
        <v>68</v>
      </c>
    </row>
    <row r="39" spans="2:9">
      <c r="B39" s="275"/>
      <c r="C39" s="272" t="str">
        <f>ELC_CEN!A149</f>
        <v>EHGEOAHC6N</v>
      </c>
      <c r="D39" s="376" t="str">
        <f>ELC_CEN!B149</f>
        <v>45  Geothermal District Heating - Absorption Heat Pump - 50 C centralised</v>
      </c>
      <c r="E39" s="273" t="s">
        <v>86</v>
      </c>
      <c r="F39" s="273" t="s">
        <v>20</v>
      </c>
      <c r="G39" s="294" t="s">
        <v>394</v>
      </c>
      <c r="H39" s="271"/>
      <c r="I39" s="271" t="s">
        <v>68</v>
      </c>
    </row>
    <row r="40" spans="2:9">
      <c r="B40" s="275"/>
      <c r="C40" s="272" t="str">
        <f>ELC_CEN!A153</f>
        <v>EHGEOAHC7N</v>
      </c>
      <c r="D40" s="376" t="str">
        <f>ELC_CEN!B153</f>
        <v>45  Geothermal District Heating - Electric Heat Pump - 70 C centralised</v>
      </c>
      <c r="E40" s="273" t="s">
        <v>86</v>
      </c>
      <c r="F40" s="273" t="s">
        <v>20</v>
      </c>
      <c r="G40" s="294" t="s">
        <v>394</v>
      </c>
      <c r="H40" s="271"/>
      <c r="I40" s="271" t="s">
        <v>68</v>
      </c>
    </row>
    <row r="41" spans="2:9">
      <c r="B41" s="275"/>
      <c r="C41" s="272" t="str">
        <f>ELC_CEN!A157</f>
        <v>EHSOLDHC5N</v>
      </c>
      <c r="D41" s="376" t="str">
        <f>ELC_CEN!B157</f>
        <v>46  Solar District Heating centralised incl.  Diurnal heat storage</v>
      </c>
      <c r="E41" s="273" t="s">
        <v>86</v>
      </c>
      <c r="F41" s="273" t="s">
        <v>20</v>
      </c>
      <c r="G41" s="294" t="s">
        <v>394</v>
      </c>
      <c r="H41" s="271"/>
      <c r="I41" s="271" t="s">
        <v>68</v>
      </c>
    </row>
    <row r="42" spans="2:9">
      <c r="B42" s="275"/>
      <c r="C42" s="272" t="str">
        <f>ELC_CEN!A161</f>
        <v>EHWSTDHC5N</v>
      </c>
      <c r="D42" s="376" t="str">
        <f>ELC_CEN!B161</f>
        <v xml:space="preserve">42  Waste-to-Energy District Heating Centralised Plant </v>
      </c>
      <c r="E42" s="273" t="s">
        <v>86</v>
      </c>
      <c r="F42" s="273" t="s">
        <v>20</v>
      </c>
      <c r="G42" s="294" t="s">
        <v>394</v>
      </c>
      <c r="H42" s="271"/>
      <c r="I42" s="271" t="s">
        <v>68</v>
      </c>
    </row>
    <row r="43" spans="2:9">
      <c r="B43" s="271" t="s">
        <v>173</v>
      </c>
      <c r="C43" s="271" t="str">
        <f>ELC_CEN!A171</f>
        <v>MINELCAMB</v>
      </c>
      <c r="D43" s="375" t="str">
        <f>ELC_CEN!B171</f>
        <v>Mining ELCAMB - dummy tech</v>
      </c>
      <c r="E43" s="273" t="s">
        <v>86</v>
      </c>
      <c r="F43" s="278" t="s">
        <v>561</v>
      </c>
      <c r="G43" s="279"/>
      <c r="H43" s="277"/>
      <c r="I43" s="277"/>
    </row>
    <row r="44" spans="2:9">
      <c r="B44" s="277" t="s">
        <v>98</v>
      </c>
      <c r="C44" s="271" t="str">
        <f>ELC_CEN!A173</f>
        <v>XBOELCSTM</v>
      </c>
      <c r="D44" s="271" t="str">
        <f>ELC_CEN!B173</f>
        <v>Boiler to deliver steam to geo ads heat pumps</v>
      </c>
      <c r="E44" s="273" t="s">
        <v>86</v>
      </c>
      <c r="F44" s="273" t="s">
        <v>20</v>
      </c>
      <c r="G44" s="279"/>
      <c r="H44" s="277"/>
      <c r="I44" s="277"/>
    </row>
    <row r="45" spans="2:9">
      <c r="B45" s="275" t="s">
        <v>66</v>
      </c>
      <c r="C45" s="475" t="s">
        <v>619</v>
      </c>
      <c r="D45" s="474" t="s">
        <v>618</v>
      </c>
      <c r="E45" s="377" t="s">
        <v>86</v>
      </c>
      <c r="F45" s="377" t="s">
        <v>20</v>
      </c>
      <c r="G45" s="293"/>
      <c r="H45" s="375"/>
      <c r="I45" s="375" t="s">
        <v>68</v>
      </c>
    </row>
    <row r="46" spans="2:9">
      <c r="B46" s="275" t="s">
        <v>66</v>
      </c>
      <c r="C46" s="475" t="s">
        <v>612</v>
      </c>
      <c r="D46" s="474" t="s">
        <v>611</v>
      </c>
      <c r="E46" s="377" t="s">
        <v>86</v>
      </c>
      <c r="F46" s="377" t="s">
        <v>20</v>
      </c>
      <c r="G46" s="293"/>
      <c r="H46" s="375"/>
      <c r="I46" s="375" t="s">
        <v>68</v>
      </c>
    </row>
    <row r="47" spans="2:9">
      <c r="B47" s="145"/>
      <c r="C47" s="85"/>
      <c r="D47" s="85"/>
      <c r="E47" s="147"/>
      <c r="F47" s="147"/>
      <c r="G47" s="148"/>
      <c r="H47" s="145"/>
      <c r="I47" s="145"/>
    </row>
    <row r="48" spans="2:9">
      <c r="B48" s="145"/>
      <c r="C48" s="85"/>
      <c r="D48" s="85"/>
      <c r="E48" s="147"/>
      <c r="F48" s="147"/>
      <c r="G48" s="148"/>
      <c r="H48" s="145"/>
      <c r="I48" s="145"/>
    </row>
    <row r="49" spans="2:9">
      <c r="B49" s="145"/>
      <c r="C49" s="85"/>
      <c r="D49" s="85"/>
      <c r="E49" s="147"/>
      <c r="F49" s="147"/>
      <c r="G49" s="148"/>
      <c r="H49" s="145"/>
      <c r="I49" s="145"/>
    </row>
    <row r="50" spans="2:9">
      <c r="B50" s="145"/>
      <c r="C50" s="85"/>
      <c r="D50" s="85"/>
      <c r="E50" s="147"/>
      <c r="F50" s="147"/>
      <c r="G50" s="148"/>
      <c r="H50" s="145"/>
      <c r="I50" s="145"/>
    </row>
    <row r="51" spans="2:9">
      <c r="B51" s="145"/>
      <c r="C51" s="85"/>
      <c r="D51" s="85"/>
      <c r="E51" s="147"/>
      <c r="F51" s="147"/>
      <c r="G51" s="148"/>
      <c r="H51" s="145"/>
      <c r="I51" s="145"/>
    </row>
    <row r="52" spans="2:9">
      <c r="B52" s="145"/>
      <c r="C52" s="23" t="s">
        <v>311</v>
      </c>
      <c r="D52" s="23" t="s">
        <v>312</v>
      </c>
      <c r="E52" s="99" t="s">
        <v>86</v>
      </c>
      <c r="F52" s="147"/>
      <c r="G52" s="148"/>
      <c r="H52" s="145"/>
      <c r="I52" s="145"/>
    </row>
    <row r="53" spans="2:9">
      <c r="B53" s="46"/>
      <c r="C53" s="74" t="s">
        <v>320</v>
      </c>
      <c r="D53" s="74" t="s">
        <v>154</v>
      </c>
      <c r="E53" s="99" t="s">
        <v>86</v>
      </c>
      <c r="F53" s="99" t="s">
        <v>20</v>
      </c>
      <c r="G53" s="63"/>
      <c r="H53" s="23"/>
      <c r="I53" s="23" t="s">
        <v>68</v>
      </c>
    </row>
    <row r="54" spans="2:9">
      <c r="B54" s="46"/>
      <c r="C54" t="s">
        <v>303</v>
      </c>
      <c r="D54" s="74" t="s">
        <v>153</v>
      </c>
      <c r="E54" s="99" t="s">
        <v>86</v>
      </c>
      <c r="F54" s="99" t="s">
        <v>20</v>
      </c>
      <c r="G54" s="63"/>
      <c r="H54" s="23"/>
      <c r="I54" s="23" t="s">
        <v>68</v>
      </c>
    </row>
    <row r="55" spans="2:9">
      <c r="B55" s="85"/>
      <c r="C55" s="85"/>
      <c r="D55" s="85"/>
      <c r="E55" s="147"/>
      <c r="F55" s="147"/>
      <c r="G55" s="85"/>
      <c r="H55" s="85"/>
      <c r="I55" s="85"/>
    </row>
    <row r="56" spans="2:9">
      <c r="B56" s="85"/>
      <c r="C56" s="85"/>
      <c r="D56" s="85"/>
      <c r="E56" s="147"/>
      <c r="F56" s="147"/>
      <c r="G56" s="85"/>
      <c r="H56" s="85"/>
      <c r="I56" s="85"/>
    </row>
    <row r="57" spans="2:9">
      <c r="B57" s="145"/>
      <c r="C57" s="145"/>
      <c r="D57" s="145"/>
      <c r="E57" s="147"/>
      <c r="F57" s="147"/>
      <c r="G57" s="145"/>
      <c r="H57" s="145"/>
      <c r="I57" s="145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B3:AI68"/>
  <sheetViews>
    <sheetView workbookViewId="0">
      <selection activeCell="D16" sqref="D16"/>
    </sheetView>
  </sheetViews>
  <sheetFormatPr defaultColWidth="7.44140625" defaultRowHeight="14.4"/>
  <cols>
    <col min="2" max="2" width="14.44140625" customWidth="1"/>
    <col min="3" max="3" width="18.44140625" bestFit="1" customWidth="1"/>
    <col min="4" max="4" width="85.33203125" bestFit="1" customWidth="1"/>
    <col min="5" max="5" width="7.6640625" bestFit="1" customWidth="1"/>
    <col min="6" max="6" width="8.44140625" bestFit="1" customWidth="1"/>
    <col min="7" max="7" width="33.33203125" customWidth="1"/>
    <col min="8" max="8" width="17.6640625" customWidth="1"/>
    <col min="9" max="9" width="8.33203125" bestFit="1" customWidth="1"/>
  </cols>
  <sheetData>
    <row r="3" spans="2:35">
      <c r="B3" s="379" t="s">
        <v>49</v>
      </c>
      <c r="C3" s="380"/>
      <c r="D3" s="380"/>
      <c r="E3" s="380"/>
      <c r="F3" s="380"/>
      <c r="G3" s="380"/>
      <c r="H3" s="380"/>
      <c r="I3" s="380"/>
      <c r="J3" s="370"/>
      <c r="K3" s="367"/>
      <c r="L3" s="367"/>
      <c r="M3" s="367"/>
      <c r="N3" s="373"/>
      <c r="O3" s="367"/>
      <c r="P3" s="367"/>
      <c r="Q3" s="367"/>
      <c r="R3" s="367"/>
      <c r="S3" s="367"/>
      <c r="T3" s="367"/>
      <c r="U3" s="367"/>
      <c r="V3" s="367"/>
      <c r="W3" s="367"/>
      <c r="X3" s="367"/>
      <c r="Y3" s="367"/>
      <c r="Z3" s="369"/>
      <c r="AA3" s="367"/>
      <c r="AB3" s="367"/>
      <c r="AC3" s="367"/>
      <c r="AD3" s="367"/>
      <c r="AE3" s="367"/>
      <c r="AF3" s="367"/>
      <c r="AG3" s="367"/>
      <c r="AH3" s="367"/>
      <c r="AI3" s="367"/>
    </row>
    <row r="4" spans="2:35">
      <c r="B4" s="381" t="s">
        <v>50</v>
      </c>
      <c r="C4" s="381" t="s">
        <v>1</v>
      </c>
      <c r="D4" s="381" t="s">
        <v>51</v>
      </c>
      <c r="E4" s="381" t="s">
        <v>52</v>
      </c>
      <c r="F4" s="381" t="s">
        <v>53</v>
      </c>
      <c r="G4" s="381" t="s">
        <v>54</v>
      </c>
      <c r="H4" s="381" t="s">
        <v>55</v>
      </c>
      <c r="I4" s="381" t="s">
        <v>56</v>
      </c>
      <c r="J4" s="386"/>
      <c r="K4" s="367"/>
      <c r="L4" s="367"/>
      <c r="M4" s="367"/>
      <c r="N4" s="373"/>
      <c r="O4" s="367"/>
      <c r="P4" s="367"/>
      <c r="Q4" s="367"/>
      <c r="R4" s="367"/>
      <c r="S4" s="367"/>
      <c r="T4" s="367"/>
      <c r="U4" s="367"/>
      <c r="V4" s="367"/>
      <c r="W4" s="367"/>
      <c r="X4" s="367"/>
      <c r="Y4" s="367"/>
      <c r="Z4" s="369"/>
      <c r="AA4" s="367"/>
      <c r="AB4" s="367"/>
      <c r="AC4" s="367"/>
      <c r="AD4" s="367"/>
      <c r="AE4" s="367"/>
      <c r="AF4" s="367"/>
      <c r="AG4" s="367"/>
      <c r="AH4" s="367"/>
      <c r="AI4" s="367"/>
    </row>
    <row r="5" spans="2:35" ht="28.2" thickBot="1">
      <c r="B5" s="382" t="s">
        <v>57</v>
      </c>
      <c r="C5" s="382" t="s">
        <v>58</v>
      </c>
      <c r="D5" s="382" t="s">
        <v>59</v>
      </c>
      <c r="E5" s="382" t="s">
        <v>60</v>
      </c>
      <c r="F5" s="382" t="s">
        <v>61</v>
      </c>
      <c r="G5" s="382" t="s">
        <v>62</v>
      </c>
      <c r="H5" s="382" t="s">
        <v>63</v>
      </c>
      <c r="I5" s="382" t="s">
        <v>64</v>
      </c>
      <c r="J5" s="387"/>
      <c r="K5" s="367"/>
      <c r="L5" s="367"/>
      <c r="M5" s="367"/>
      <c r="N5" s="373"/>
      <c r="O5" s="367"/>
      <c r="P5" s="367"/>
      <c r="Q5" s="367"/>
      <c r="R5" s="367"/>
      <c r="S5" s="367"/>
      <c r="T5" s="367"/>
      <c r="U5" s="367"/>
      <c r="V5" s="367"/>
      <c r="W5" s="367"/>
      <c r="X5" s="367"/>
      <c r="Y5" s="367"/>
      <c r="Z5" s="369"/>
    </row>
    <row r="6" spans="2:35">
      <c r="B6" s="378" t="s">
        <v>65</v>
      </c>
      <c r="C6" s="383" t="s">
        <v>467</v>
      </c>
      <c r="D6" s="383" t="s">
        <v>120</v>
      </c>
      <c r="E6" s="384" t="s">
        <v>86</v>
      </c>
      <c r="F6" s="384" t="s">
        <v>20</v>
      </c>
      <c r="G6" s="385"/>
      <c r="H6" s="378"/>
      <c r="I6" s="378" t="s">
        <v>68</v>
      </c>
      <c r="J6" s="369"/>
      <c r="K6" s="367"/>
      <c r="L6" s="367"/>
      <c r="M6" s="367"/>
      <c r="N6" s="373"/>
      <c r="O6" s="367"/>
      <c r="P6" s="367"/>
      <c r="Q6" s="367"/>
      <c r="R6" s="367"/>
      <c r="S6" s="367"/>
      <c r="T6" s="367"/>
      <c r="U6" s="367"/>
      <c r="V6" s="367"/>
      <c r="W6" s="367"/>
      <c r="X6" s="367"/>
      <c r="Y6" s="367"/>
      <c r="Z6" s="369"/>
    </row>
    <row r="7" spans="2:35">
      <c r="B7" s="378"/>
      <c r="C7" s="383" t="s">
        <v>468</v>
      </c>
      <c r="D7" s="383" t="s">
        <v>121</v>
      </c>
      <c r="E7" s="384" t="s">
        <v>86</v>
      </c>
      <c r="F7" s="384" t="s">
        <v>20</v>
      </c>
      <c r="G7" s="385"/>
      <c r="H7" s="378"/>
      <c r="I7" s="378" t="s">
        <v>68</v>
      </c>
      <c r="J7" s="369"/>
      <c r="K7" s="367"/>
      <c r="L7" s="367"/>
      <c r="M7" s="367"/>
      <c r="N7" s="373"/>
      <c r="O7" s="367"/>
      <c r="P7" s="367"/>
      <c r="Q7" s="367"/>
      <c r="R7" s="367"/>
      <c r="S7" s="367"/>
      <c r="T7" s="367"/>
      <c r="U7" s="367"/>
      <c r="V7" s="367"/>
      <c r="W7" s="367"/>
      <c r="X7" s="367"/>
      <c r="Y7" s="367"/>
      <c r="Z7" s="369"/>
    </row>
    <row r="8" spans="2:35">
      <c r="B8" s="378"/>
      <c r="C8" s="383" t="s">
        <v>469</v>
      </c>
      <c r="D8" s="383" t="s">
        <v>122</v>
      </c>
      <c r="E8" s="384" t="s">
        <v>86</v>
      </c>
      <c r="F8" s="384" t="s">
        <v>20</v>
      </c>
      <c r="G8" s="385"/>
      <c r="H8" s="378"/>
      <c r="I8" s="378" t="s">
        <v>68</v>
      </c>
      <c r="J8" s="367"/>
      <c r="K8" s="367"/>
      <c r="L8" s="367"/>
      <c r="M8" s="367"/>
      <c r="N8" s="373"/>
      <c r="O8" s="367"/>
      <c r="P8" s="367"/>
      <c r="Q8" s="367"/>
      <c r="R8" s="367"/>
      <c r="S8" s="367"/>
      <c r="T8" s="367"/>
      <c r="U8" s="367"/>
      <c r="V8" s="367"/>
      <c r="W8" s="367"/>
      <c r="X8" s="367"/>
      <c r="Y8" s="367"/>
      <c r="Z8" s="369"/>
    </row>
    <row r="9" spans="2:35">
      <c r="B9" s="378"/>
      <c r="C9" s="383" t="s">
        <v>470</v>
      </c>
      <c r="D9" s="383" t="s">
        <v>123</v>
      </c>
      <c r="E9" s="384" t="s">
        <v>86</v>
      </c>
      <c r="F9" s="384" t="s">
        <v>20</v>
      </c>
      <c r="G9" s="385"/>
      <c r="H9" s="378"/>
      <c r="I9" s="378" t="s">
        <v>68</v>
      </c>
      <c r="J9" s="367"/>
      <c r="K9" s="367"/>
      <c r="L9" s="367"/>
      <c r="M9" s="367"/>
      <c r="N9" s="373"/>
      <c r="O9" s="367"/>
      <c r="P9" s="367"/>
      <c r="Q9" s="367"/>
      <c r="R9" s="367"/>
      <c r="S9" s="367"/>
      <c r="T9" s="367"/>
      <c r="U9" s="367"/>
      <c r="V9" s="367"/>
      <c r="W9" s="367"/>
      <c r="X9" s="367"/>
      <c r="Y9" s="367"/>
      <c r="Z9" s="369"/>
    </row>
    <row r="10" spans="2:35">
      <c r="B10" s="378"/>
      <c r="C10" s="383" t="s">
        <v>471</v>
      </c>
      <c r="D10" s="383" t="s">
        <v>299</v>
      </c>
      <c r="E10" s="384" t="s">
        <v>86</v>
      </c>
      <c r="F10" s="384" t="s">
        <v>20</v>
      </c>
      <c r="G10" s="385"/>
      <c r="H10" s="378"/>
      <c r="I10" s="378" t="s">
        <v>68</v>
      </c>
      <c r="J10" s="367"/>
      <c r="K10" s="367"/>
      <c r="L10" s="367"/>
      <c r="M10" s="367"/>
      <c r="N10" s="373"/>
      <c r="O10" s="367"/>
      <c r="P10" s="367"/>
      <c r="Q10" s="367"/>
      <c r="R10" s="367"/>
      <c r="S10" s="367"/>
      <c r="T10" s="367"/>
      <c r="U10" s="367"/>
      <c r="V10" s="367"/>
      <c r="W10" s="367"/>
      <c r="X10" s="367"/>
      <c r="Y10" s="367"/>
      <c r="Z10" s="369"/>
    </row>
    <row r="11" spans="2:35">
      <c r="B11" s="378"/>
      <c r="C11" s="383" t="s">
        <v>472</v>
      </c>
      <c r="D11" s="383" t="s">
        <v>124</v>
      </c>
      <c r="E11" s="384" t="s">
        <v>86</v>
      </c>
      <c r="F11" s="384" t="s">
        <v>20</v>
      </c>
      <c r="G11" s="385"/>
      <c r="H11" s="378"/>
      <c r="I11" s="378" t="s">
        <v>68</v>
      </c>
      <c r="J11" s="367"/>
      <c r="K11" s="367"/>
      <c r="L11" s="367"/>
      <c r="M11" s="367"/>
      <c r="N11" s="373"/>
      <c r="O11" s="367"/>
      <c r="P11" s="367"/>
      <c r="Q11" s="367"/>
      <c r="R11" s="367"/>
      <c r="S11" s="367"/>
      <c r="T11" s="367"/>
      <c r="U11" s="367"/>
      <c r="V11" s="367"/>
      <c r="W11" s="367"/>
      <c r="X11" s="367"/>
      <c r="Y11" s="367"/>
      <c r="Z11" s="369"/>
    </row>
    <row r="12" spans="2:35">
      <c r="B12" s="378"/>
      <c r="C12" s="383" t="s">
        <v>473</v>
      </c>
      <c r="D12" s="383" t="s">
        <v>125</v>
      </c>
      <c r="E12" s="384" t="s">
        <v>86</v>
      </c>
      <c r="F12" s="384" t="s">
        <v>20</v>
      </c>
      <c r="G12" s="385"/>
      <c r="H12" s="378"/>
      <c r="I12" s="378" t="s">
        <v>68</v>
      </c>
      <c r="J12" s="367"/>
      <c r="K12" s="367"/>
      <c r="L12" s="367"/>
      <c r="M12" s="367"/>
      <c r="N12" s="373"/>
      <c r="O12" s="367"/>
      <c r="P12" s="367"/>
      <c r="Q12" s="367"/>
      <c r="R12" s="367"/>
      <c r="S12" s="367"/>
      <c r="T12" s="367"/>
      <c r="U12" s="367"/>
      <c r="V12" s="367"/>
      <c r="W12" s="367"/>
      <c r="X12" s="367"/>
      <c r="Y12" s="367"/>
      <c r="Z12" s="369"/>
    </row>
    <row r="13" spans="2:35">
      <c r="B13" s="378"/>
      <c r="C13" s="383" t="s">
        <v>474</v>
      </c>
      <c r="D13" s="383" t="s">
        <v>126</v>
      </c>
      <c r="E13" s="384" t="s">
        <v>86</v>
      </c>
      <c r="F13" s="384" t="s">
        <v>20</v>
      </c>
      <c r="G13" s="385"/>
      <c r="H13" s="378"/>
      <c r="I13" s="378" t="s">
        <v>68</v>
      </c>
      <c r="J13" s="367"/>
      <c r="K13" s="367"/>
      <c r="L13" s="367"/>
      <c r="M13" s="367"/>
      <c r="N13" s="373"/>
      <c r="O13" s="367"/>
      <c r="P13" s="367"/>
      <c r="Q13" s="367"/>
      <c r="R13" s="367"/>
      <c r="S13" s="367"/>
      <c r="T13" s="367"/>
      <c r="U13" s="367"/>
      <c r="V13" s="367"/>
      <c r="W13" s="367"/>
      <c r="X13" s="367"/>
      <c r="Y13" s="367"/>
      <c r="Z13" s="369"/>
    </row>
    <row r="14" spans="2:35">
      <c r="B14" s="378"/>
      <c r="C14" s="383" t="s">
        <v>475</v>
      </c>
      <c r="D14" s="383" t="s">
        <v>127</v>
      </c>
      <c r="E14" s="384" t="s">
        <v>86</v>
      </c>
      <c r="F14" s="384" t="s">
        <v>20</v>
      </c>
      <c r="G14" s="385"/>
      <c r="H14" s="378"/>
      <c r="I14" s="378" t="s">
        <v>68</v>
      </c>
      <c r="J14" s="367"/>
      <c r="K14" s="367"/>
      <c r="L14" s="367"/>
      <c r="M14" s="367"/>
      <c r="N14" s="373"/>
      <c r="O14" s="367"/>
      <c r="P14" s="367"/>
      <c r="Q14" s="367"/>
      <c r="R14" s="367"/>
      <c r="S14" s="367"/>
      <c r="T14" s="367"/>
      <c r="U14" s="367"/>
      <c r="V14" s="367"/>
      <c r="W14" s="367"/>
      <c r="X14" s="367"/>
      <c r="Y14" s="367"/>
      <c r="Z14" s="369"/>
    </row>
    <row r="15" spans="2:35">
      <c r="B15" s="378"/>
      <c r="C15" s="383" t="s">
        <v>476</v>
      </c>
      <c r="D15" s="383" t="s">
        <v>128</v>
      </c>
      <c r="E15" s="384" t="s">
        <v>86</v>
      </c>
      <c r="F15" s="384" t="s">
        <v>20</v>
      </c>
      <c r="G15" s="385"/>
      <c r="H15" s="378"/>
      <c r="I15" s="378" t="s">
        <v>68</v>
      </c>
      <c r="J15" s="367"/>
      <c r="K15" s="367"/>
      <c r="L15" s="367"/>
      <c r="M15" s="367"/>
      <c r="N15" s="373"/>
      <c r="O15" s="367"/>
      <c r="P15" s="367"/>
      <c r="Q15" s="367"/>
      <c r="R15" s="367"/>
      <c r="S15" s="367"/>
      <c r="T15" s="367"/>
      <c r="U15" s="367"/>
      <c r="V15" s="367"/>
      <c r="W15" s="367"/>
      <c r="X15" s="367"/>
      <c r="Y15" s="367"/>
      <c r="Z15" s="369"/>
    </row>
    <row r="16" spans="2:35">
      <c r="B16" s="378"/>
      <c r="C16" s="383" t="s">
        <v>477</v>
      </c>
      <c r="D16" s="383" t="s">
        <v>129</v>
      </c>
      <c r="E16" s="384" t="s">
        <v>86</v>
      </c>
      <c r="F16" s="384" t="s">
        <v>20</v>
      </c>
      <c r="G16" s="385"/>
      <c r="H16" s="378"/>
      <c r="I16" s="378" t="s">
        <v>68</v>
      </c>
      <c r="J16" s="367"/>
      <c r="K16" s="367"/>
      <c r="L16" s="367"/>
      <c r="M16" s="367"/>
      <c r="N16" s="373"/>
      <c r="O16" s="367"/>
      <c r="P16" s="367"/>
      <c r="Q16" s="367"/>
      <c r="R16" s="367"/>
      <c r="S16" s="367"/>
      <c r="T16" s="367"/>
      <c r="U16" s="367"/>
      <c r="V16" s="367"/>
      <c r="W16" s="367"/>
      <c r="X16" s="367"/>
      <c r="Y16" s="367"/>
      <c r="Z16" s="369"/>
    </row>
    <row r="17" spans="2:34">
      <c r="B17" s="378" t="s">
        <v>67</v>
      </c>
      <c r="C17" s="383" t="s">
        <v>478</v>
      </c>
      <c r="D17" s="383" t="s">
        <v>130</v>
      </c>
      <c r="E17" s="384" t="s">
        <v>86</v>
      </c>
      <c r="F17" s="384" t="s">
        <v>20</v>
      </c>
      <c r="G17" s="385" t="s">
        <v>394</v>
      </c>
      <c r="H17" s="378"/>
      <c r="I17" s="378" t="s">
        <v>68</v>
      </c>
      <c r="J17" s="367"/>
      <c r="K17" s="367"/>
      <c r="L17" s="367"/>
      <c r="M17" s="367"/>
      <c r="N17" s="374">
        <v>0.43181818181818182</v>
      </c>
      <c r="O17" s="367"/>
      <c r="P17" s="367"/>
      <c r="Q17" s="367"/>
      <c r="R17" s="367"/>
      <c r="S17" s="367"/>
      <c r="T17" s="367"/>
      <c r="U17" s="367"/>
      <c r="V17" s="367"/>
      <c r="W17" s="367"/>
      <c r="X17" s="367"/>
      <c r="Y17" s="367"/>
      <c r="Z17" s="369"/>
    </row>
    <row r="18" spans="2:34">
      <c r="B18" s="378"/>
      <c r="C18" s="383" t="s">
        <v>480</v>
      </c>
      <c r="D18" s="383" t="s">
        <v>218</v>
      </c>
      <c r="E18" s="384" t="s">
        <v>86</v>
      </c>
      <c r="F18" s="384" t="s">
        <v>20</v>
      </c>
      <c r="G18" s="385" t="s">
        <v>394</v>
      </c>
      <c r="H18" s="378"/>
      <c r="I18" s="378" t="s">
        <v>68</v>
      </c>
      <c r="J18" s="367"/>
      <c r="K18" s="367"/>
      <c r="L18" s="367"/>
      <c r="M18" s="367"/>
      <c r="N18" s="374">
        <v>0.43181818181818182</v>
      </c>
      <c r="O18" s="367"/>
      <c r="P18" s="367"/>
      <c r="Q18" s="367"/>
      <c r="R18" s="367"/>
      <c r="S18" s="367"/>
      <c r="T18" s="367"/>
      <c r="U18" s="367"/>
      <c r="V18" s="367"/>
      <c r="W18" s="367"/>
      <c r="X18" s="367"/>
      <c r="Y18" s="367"/>
      <c r="Z18" s="369"/>
    </row>
    <row r="19" spans="2:34">
      <c r="B19" s="378"/>
      <c r="C19" s="383" t="s">
        <v>481</v>
      </c>
      <c r="D19" s="383" t="s">
        <v>132</v>
      </c>
      <c r="E19" s="384" t="s">
        <v>86</v>
      </c>
      <c r="F19" s="384" t="s">
        <v>20</v>
      </c>
      <c r="G19" s="385" t="s">
        <v>394</v>
      </c>
      <c r="H19" s="378"/>
      <c r="I19" s="378" t="s">
        <v>68</v>
      </c>
      <c r="J19" s="367"/>
      <c r="K19" s="367"/>
      <c r="L19" s="367"/>
      <c r="M19" s="367"/>
      <c r="N19" s="374">
        <v>0.51923076923076927</v>
      </c>
      <c r="O19" s="367"/>
      <c r="P19" s="367"/>
      <c r="Q19" s="367"/>
      <c r="R19" s="367"/>
      <c r="S19" s="367"/>
      <c r="T19" s="367"/>
      <c r="U19" s="367"/>
      <c r="V19" s="367"/>
      <c r="W19" s="367"/>
      <c r="X19" s="367"/>
      <c r="Y19" s="367"/>
      <c r="Z19" s="369"/>
    </row>
    <row r="20" spans="2:34">
      <c r="B20" s="378"/>
      <c r="C20" s="383" t="s">
        <v>482</v>
      </c>
      <c r="D20" s="383" t="s">
        <v>133</v>
      </c>
      <c r="E20" s="384" t="s">
        <v>86</v>
      </c>
      <c r="F20" s="384" t="s">
        <v>20</v>
      </c>
      <c r="G20" s="385" t="s">
        <v>394</v>
      </c>
      <c r="H20" s="378"/>
      <c r="I20" s="378" t="s">
        <v>68</v>
      </c>
      <c r="J20" s="367"/>
      <c r="K20" s="367"/>
      <c r="L20" s="367"/>
      <c r="M20" s="367"/>
      <c r="N20" s="374">
        <v>0.51923076923076927</v>
      </c>
      <c r="O20" s="367"/>
      <c r="P20" s="367"/>
      <c r="Q20" s="367"/>
      <c r="R20" s="367"/>
      <c r="S20" s="367"/>
      <c r="T20" s="367"/>
      <c r="U20" s="367"/>
      <c r="V20" s="367"/>
      <c r="W20" s="367"/>
      <c r="X20" s="367"/>
      <c r="Y20" s="367"/>
      <c r="Z20" s="369"/>
      <c r="AA20" s="367"/>
      <c r="AB20" s="367"/>
      <c r="AC20" s="367"/>
      <c r="AD20" s="367"/>
      <c r="AE20" s="367"/>
      <c r="AF20" s="367"/>
      <c r="AG20" s="367"/>
      <c r="AH20" s="367"/>
    </row>
    <row r="21" spans="2:34">
      <c r="B21" s="378"/>
      <c r="C21" s="383" t="s">
        <v>483</v>
      </c>
      <c r="D21" s="383" t="s">
        <v>134</v>
      </c>
      <c r="E21" s="384" t="s">
        <v>86</v>
      </c>
      <c r="F21" s="384" t="s">
        <v>20</v>
      </c>
      <c r="G21" s="385" t="s">
        <v>394</v>
      </c>
      <c r="H21" s="378"/>
      <c r="I21" s="378" t="s">
        <v>68</v>
      </c>
      <c r="J21" s="367"/>
      <c r="K21" s="367"/>
      <c r="L21" s="367"/>
      <c r="M21" s="367"/>
      <c r="N21" s="374">
        <v>0.51923076923076927</v>
      </c>
      <c r="O21" s="367"/>
      <c r="P21" s="367"/>
      <c r="Q21" s="367"/>
      <c r="R21" s="367"/>
      <c r="S21" s="367"/>
      <c r="T21" s="367"/>
      <c r="U21" s="367"/>
      <c r="V21" s="367"/>
      <c r="W21" s="367"/>
      <c r="X21" s="367"/>
      <c r="Y21" s="367"/>
      <c r="Z21" s="369"/>
      <c r="AA21" s="367"/>
      <c r="AB21" s="367"/>
      <c r="AC21" s="367"/>
      <c r="AD21" s="367"/>
      <c r="AE21" s="367"/>
      <c r="AF21" s="367"/>
      <c r="AG21" s="367"/>
      <c r="AH21" s="367"/>
    </row>
    <row r="22" spans="2:34">
      <c r="B22" s="378"/>
      <c r="C22" s="383" t="s">
        <v>484</v>
      </c>
      <c r="D22" s="383" t="s">
        <v>135</v>
      </c>
      <c r="E22" s="384" t="s">
        <v>86</v>
      </c>
      <c r="F22" s="384" t="s">
        <v>20</v>
      </c>
      <c r="G22" s="385" t="s">
        <v>394</v>
      </c>
      <c r="H22" s="378"/>
      <c r="I22" s="378" t="s">
        <v>68</v>
      </c>
      <c r="J22" s="367"/>
      <c r="K22" s="367"/>
      <c r="L22" s="367"/>
      <c r="M22" s="367"/>
      <c r="N22" s="374">
        <v>0.51923076923076927</v>
      </c>
      <c r="O22" s="367"/>
      <c r="P22" s="367"/>
      <c r="Q22" s="367"/>
      <c r="R22" s="367"/>
      <c r="S22" s="367"/>
      <c r="T22" s="367"/>
      <c r="U22" s="367"/>
      <c r="V22" s="367"/>
      <c r="W22" s="367"/>
      <c r="X22" s="367"/>
      <c r="Y22" s="367"/>
      <c r="Z22" s="369"/>
      <c r="AA22" s="367"/>
      <c r="AB22" s="367"/>
      <c r="AC22" s="367"/>
      <c r="AD22" s="367"/>
      <c r="AE22" s="367"/>
      <c r="AF22" s="367"/>
      <c r="AG22" s="367"/>
      <c r="AH22" s="367"/>
    </row>
    <row r="23" spans="2:34">
      <c r="B23" s="378"/>
      <c r="C23" s="383" t="s">
        <v>485</v>
      </c>
      <c r="D23" s="383" t="s">
        <v>136</v>
      </c>
      <c r="E23" s="384" t="s">
        <v>86</v>
      </c>
      <c r="F23" s="384" t="s">
        <v>20</v>
      </c>
      <c r="G23" s="385" t="s">
        <v>394</v>
      </c>
      <c r="H23" s="378"/>
      <c r="I23" s="378" t="s">
        <v>68</v>
      </c>
      <c r="J23" s="367"/>
      <c r="K23" s="367"/>
      <c r="L23" s="367"/>
      <c r="M23" s="367"/>
      <c r="N23" s="374"/>
      <c r="O23" s="367"/>
      <c r="P23" s="367"/>
      <c r="Q23" s="367"/>
      <c r="R23" s="367"/>
      <c r="S23" s="367"/>
      <c r="T23" s="367"/>
      <c r="U23" s="367"/>
      <c r="V23" s="367"/>
      <c r="W23" s="367"/>
      <c r="X23" s="367"/>
      <c r="Y23" s="367"/>
      <c r="Z23" s="369"/>
      <c r="AA23" s="367"/>
      <c r="AB23" s="367"/>
      <c r="AC23" s="367"/>
      <c r="AD23" s="367"/>
      <c r="AE23" s="367"/>
      <c r="AF23" s="367"/>
      <c r="AG23" s="367"/>
      <c r="AH23" s="367"/>
    </row>
    <row r="24" spans="2:34">
      <c r="B24" s="378"/>
      <c r="C24" s="367" t="s">
        <v>486</v>
      </c>
      <c r="D24" s="367" t="s">
        <v>137</v>
      </c>
      <c r="E24" s="384" t="s">
        <v>86</v>
      </c>
      <c r="F24" s="384" t="s">
        <v>20</v>
      </c>
      <c r="G24" s="385" t="s">
        <v>394</v>
      </c>
      <c r="H24" s="378"/>
      <c r="I24" s="378" t="s">
        <v>68</v>
      </c>
      <c r="J24" s="367"/>
      <c r="K24" s="367"/>
      <c r="L24" s="367"/>
      <c r="M24" s="367"/>
      <c r="N24" s="373"/>
      <c r="O24" s="367"/>
      <c r="P24" s="367"/>
      <c r="Q24" s="367"/>
      <c r="R24" s="367"/>
      <c r="S24" s="367"/>
      <c r="T24" s="367"/>
      <c r="U24" s="367"/>
      <c r="V24" s="367"/>
      <c r="W24" s="367"/>
      <c r="X24" s="367"/>
      <c r="Y24" s="367"/>
      <c r="Z24" s="369"/>
      <c r="AA24" s="367"/>
      <c r="AB24" s="367"/>
      <c r="AC24" s="367"/>
      <c r="AD24" s="367"/>
      <c r="AE24" s="367"/>
      <c r="AF24" s="367"/>
      <c r="AG24" s="367"/>
      <c r="AH24" s="367"/>
    </row>
    <row r="25" spans="2:34">
      <c r="B25" s="378"/>
      <c r="C25" s="383" t="s">
        <v>487</v>
      </c>
      <c r="D25" s="383" t="s">
        <v>178</v>
      </c>
      <c r="E25" s="384" t="s">
        <v>86</v>
      </c>
      <c r="F25" s="384" t="s">
        <v>20</v>
      </c>
      <c r="G25" s="385" t="s">
        <v>394</v>
      </c>
      <c r="H25" s="378"/>
      <c r="I25" s="378" t="s">
        <v>68</v>
      </c>
      <c r="J25" s="369"/>
      <c r="K25" s="367"/>
      <c r="L25" s="367"/>
      <c r="M25" s="367"/>
      <c r="N25" s="373"/>
      <c r="O25" s="367"/>
      <c r="P25" s="367"/>
      <c r="Q25" s="367"/>
      <c r="R25" s="367"/>
      <c r="S25" s="367"/>
      <c r="T25" s="367"/>
      <c r="U25" s="367"/>
      <c r="V25" s="367"/>
      <c r="W25" s="367"/>
      <c r="X25" s="367"/>
      <c r="Y25" s="367"/>
      <c r="Z25" s="369"/>
      <c r="AA25" s="367"/>
      <c r="AB25" s="367"/>
      <c r="AC25" s="367"/>
      <c r="AD25" s="367"/>
      <c r="AE25" s="367"/>
      <c r="AF25" s="367"/>
      <c r="AG25" s="367"/>
      <c r="AH25" s="367"/>
    </row>
    <row r="26" spans="2:34">
      <c r="B26" s="367"/>
      <c r="C26" s="383" t="s">
        <v>488</v>
      </c>
      <c r="D26" s="383" t="s">
        <v>408</v>
      </c>
      <c r="E26" s="384" t="s">
        <v>86</v>
      </c>
      <c r="F26" s="384" t="s">
        <v>20</v>
      </c>
      <c r="G26" s="385" t="s">
        <v>394</v>
      </c>
      <c r="H26" s="378"/>
      <c r="I26" s="378" t="s">
        <v>68</v>
      </c>
      <c r="J26" s="369"/>
      <c r="K26" s="367"/>
      <c r="L26" s="367"/>
      <c r="M26" s="367"/>
      <c r="N26" s="373"/>
      <c r="O26" s="367"/>
      <c r="P26" s="367"/>
      <c r="Q26" s="367"/>
      <c r="R26" s="367"/>
      <c r="S26" s="367"/>
      <c r="T26" s="367"/>
      <c r="U26" s="367"/>
      <c r="V26" s="367"/>
      <c r="W26" s="367"/>
      <c r="X26" s="367"/>
      <c r="Y26" s="367"/>
      <c r="Z26" s="369"/>
      <c r="AA26" s="367"/>
      <c r="AB26" s="367"/>
      <c r="AC26" s="367"/>
      <c r="AD26" s="367"/>
      <c r="AE26" s="367"/>
      <c r="AF26" s="367"/>
      <c r="AG26" s="367"/>
      <c r="AH26" s="367"/>
    </row>
    <row r="27" spans="2:34">
      <c r="B27" s="367"/>
      <c r="C27" s="376" t="s">
        <v>555</v>
      </c>
      <c r="D27" s="372" t="s">
        <v>554</v>
      </c>
      <c r="E27" s="377" t="s">
        <v>86</v>
      </c>
      <c r="F27" s="377" t="s">
        <v>20</v>
      </c>
      <c r="G27" s="385" t="s">
        <v>394</v>
      </c>
      <c r="H27" s="375"/>
      <c r="I27" s="375" t="s">
        <v>68</v>
      </c>
      <c r="J27" s="369"/>
      <c r="K27" s="367"/>
      <c r="L27" s="367"/>
      <c r="M27" s="367"/>
      <c r="N27" s="373"/>
      <c r="O27" s="367"/>
      <c r="P27" s="367"/>
      <c r="Q27" s="367"/>
      <c r="R27" s="367"/>
      <c r="S27" s="367"/>
      <c r="T27" s="367"/>
      <c r="U27" s="367"/>
      <c r="V27" s="367"/>
      <c r="W27" s="367"/>
      <c r="X27" s="367"/>
      <c r="Y27" s="367"/>
      <c r="Z27" s="369"/>
      <c r="AA27" s="367"/>
      <c r="AB27" s="367"/>
      <c r="AC27" s="367"/>
      <c r="AD27" s="367"/>
      <c r="AE27" s="367"/>
      <c r="AF27" s="367"/>
      <c r="AG27" s="367"/>
      <c r="AH27" s="367"/>
    </row>
    <row r="28" spans="2:34">
      <c r="B28" s="367"/>
      <c r="J28" s="367"/>
      <c r="K28" s="367"/>
      <c r="L28" s="367"/>
      <c r="M28" s="367"/>
      <c r="N28" s="373"/>
      <c r="O28" s="367"/>
      <c r="P28" s="367"/>
      <c r="Q28" s="367"/>
      <c r="R28" s="367"/>
      <c r="S28" s="367"/>
      <c r="T28" s="367"/>
      <c r="U28" s="367"/>
      <c r="V28" s="367"/>
      <c r="W28" s="367"/>
      <c r="X28" s="367"/>
      <c r="Y28" s="367"/>
      <c r="Z28" s="369"/>
      <c r="AA28" s="367"/>
      <c r="AB28" s="367"/>
      <c r="AC28" s="367"/>
      <c r="AD28" s="367"/>
      <c r="AE28" s="367"/>
      <c r="AF28" s="367"/>
      <c r="AG28" s="367"/>
      <c r="AH28" s="367"/>
    </row>
    <row r="29" spans="2:34">
      <c r="B29" s="367"/>
      <c r="J29" s="367"/>
      <c r="K29" s="367"/>
      <c r="L29" s="367"/>
      <c r="M29" s="367"/>
      <c r="N29" s="374">
        <v>0.43181818181818182</v>
      </c>
      <c r="O29" s="367"/>
      <c r="P29" s="367"/>
      <c r="Q29" s="367"/>
      <c r="R29" s="367"/>
      <c r="S29" s="367"/>
      <c r="T29" s="367"/>
      <c r="U29" s="367"/>
      <c r="V29" s="367"/>
      <c r="W29" s="367"/>
      <c r="X29" s="367"/>
      <c r="Y29" s="367"/>
      <c r="Z29" s="369"/>
      <c r="AA29" s="367"/>
      <c r="AB29" s="367"/>
      <c r="AC29" s="367"/>
      <c r="AD29" s="367"/>
      <c r="AE29" s="367"/>
      <c r="AF29" s="367"/>
      <c r="AG29" s="367"/>
      <c r="AH29" s="367"/>
    </row>
    <row r="30" spans="2:34">
      <c r="B30" s="367"/>
      <c r="C30" s="371" t="s">
        <v>479</v>
      </c>
      <c r="D30" s="371" t="s">
        <v>131</v>
      </c>
      <c r="E30" s="370" t="s">
        <v>86</v>
      </c>
      <c r="F30" s="370" t="s">
        <v>20</v>
      </c>
      <c r="G30" s="368"/>
      <c r="H30" s="367"/>
      <c r="I30" s="367" t="s">
        <v>68</v>
      </c>
      <c r="J30" s="367"/>
      <c r="K30" s="367"/>
      <c r="L30" s="367"/>
      <c r="M30" s="367"/>
      <c r="N30" s="373"/>
      <c r="O30" s="367"/>
      <c r="P30" s="367"/>
      <c r="Q30" s="367"/>
      <c r="R30" s="367"/>
      <c r="S30" s="367"/>
      <c r="T30" s="367"/>
      <c r="U30" s="367"/>
      <c r="V30" s="367"/>
      <c r="W30" s="367"/>
      <c r="X30" s="367"/>
      <c r="Y30" s="367"/>
      <c r="Z30" s="369"/>
      <c r="AA30" s="367"/>
      <c r="AB30" s="367"/>
      <c r="AC30" s="367"/>
      <c r="AD30" s="367"/>
      <c r="AE30" s="367"/>
      <c r="AF30" s="367"/>
      <c r="AG30" s="367"/>
      <c r="AH30" s="367"/>
    </row>
    <row r="31" spans="2:34">
      <c r="B31" s="367"/>
      <c r="C31" s="367"/>
      <c r="D31" s="367"/>
      <c r="E31" s="367"/>
      <c r="F31" s="367"/>
      <c r="G31" s="367"/>
      <c r="H31" s="367"/>
      <c r="I31" s="367"/>
      <c r="J31" s="367"/>
      <c r="K31" s="367"/>
      <c r="L31" s="367"/>
      <c r="M31" s="367"/>
      <c r="N31" s="367"/>
      <c r="O31" s="367"/>
      <c r="P31" s="367"/>
      <c r="Q31" s="367"/>
      <c r="R31" s="367"/>
      <c r="S31" s="367"/>
      <c r="T31" s="367"/>
      <c r="U31" s="367"/>
      <c r="V31" s="367"/>
      <c r="W31" s="367"/>
      <c r="X31" s="367"/>
      <c r="Y31" s="367"/>
      <c r="Z31" s="369"/>
      <c r="AA31" s="367"/>
      <c r="AB31" s="367"/>
      <c r="AC31" s="367"/>
      <c r="AD31" s="367"/>
      <c r="AE31" s="367"/>
      <c r="AF31" s="367"/>
      <c r="AG31" s="367"/>
      <c r="AH31" s="367"/>
    </row>
    <row r="32" spans="2:34">
      <c r="B32" s="275"/>
      <c r="C32" s="272"/>
      <c r="D32" s="272"/>
      <c r="E32" s="273"/>
      <c r="F32" s="273"/>
      <c r="G32" s="293"/>
      <c r="H32" s="271"/>
      <c r="I32" s="271"/>
    </row>
    <row r="33" spans="2:9">
      <c r="B33" s="275"/>
      <c r="C33" s="272"/>
      <c r="D33" s="272"/>
      <c r="E33" s="273"/>
      <c r="F33" s="273"/>
      <c r="G33" s="293"/>
      <c r="H33" s="271"/>
      <c r="I33" s="271"/>
    </row>
    <row r="34" spans="2:9">
      <c r="B34" s="275"/>
      <c r="C34" s="272"/>
      <c r="D34" s="272"/>
      <c r="E34" s="273"/>
      <c r="F34" s="273"/>
      <c r="G34" s="293"/>
      <c r="H34" s="271"/>
      <c r="I34" s="271"/>
    </row>
    <row r="35" spans="2:9">
      <c r="B35" s="275"/>
      <c r="C35" s="272"/>
      <c r="D35" s="272"/>
      <c r="E35" s="273"/>
      <c r="F35" s="273"/>
      <c r="G35" s="293"/>
      <c r="H35" s="271"/>
      <c r="I35" s="271"/>
    </row>
    <row r="36" spans="2:9">
      <c r="B36" s="275"/>
      <c r="C36" s="272"/>
      <c r="D36" s="272"/>
      <c r="E36" s="273"/>
      <c r="F36" s="273"/>
      <c r="G36" s="293"/>
      <c r="H36" s="271"/>
      <c r="I36" s="271"/>
    </row>
    <row r="37" spans="2:9">
      <c r="B37" s="275"/>
      <c r="C37" s="272"/>
      <c r="D37" s="272"/>
      <c r="E37" s="273"/>
      <c r="F37" s="273"/>
      <c r="G37" s="293"/>
      <c r="H37" s="271"/>
      <c r="I37" s="271"/>
    </row>
    <row r="38" spans="2:9">
      <c r="B38" s="275"/>
      <c r="C38" s="272"/>
      <c r="D38" s="272"/>
      <c r="E38" s="273"/>
      <c r="F38" s="273"/>
      <c r="G38" s="293"/>
      <c r="H38" s="271"/>
      <c r="I38" s="271"/>
    </row>
    <row r="39" spans="2:9">
      <c r="B39" s="275"/>
      <c r="C39" s="272"/>
      <c r="D39" s="272"/>
      <c r="E39" s="273"/>
      <c r="F39" s="273"/>
      <c r="G39" s="293"/>
      <c r="H39" s="271"/>
      <c r="I39" s="271"/>
    </row>
    <row r="40" spans="2:9">
      <c r="B40" s="275"/>
      <c r="C40" s="272"/>
      <c r="D40" s="272"/>
      <c r="E40" s="273"/>
      <c r="F40" s="273"/>
      <c r="G40" s="293"/>
      <c r="H40" s="271"/>
      <c r="I40" s="271"/>
    </row>
    <row r="41" spans="2:9">
      <c r="B41" s="275"/>
      <c r="C41" s="272"/>
      <c r="D41" s="272"/>
      <c r="E41" s="273"/>
      <c r="F41" s="273"/>
      <c r="G41" s="293"/>
      <c r="H41" s="271"/>
      <c r="I41" s="271"/>
    </row>
    <row r="42" spans="2:9">
      <c r="B42" s="275"/>
      <c r="C42" s="272"/>
      <c r="D42" s="272"/>
      <c r="E42" s="273"/>
      <c r="F42" s="273"/>
      <c r="G42" s="293"/>
      <c r="H42" s="271"/>
      <c r="I42" s="271"/>
    </row>
    <row r="43" spans="2:9">
      <c r="B43" s="271"/>
      <c r="C43" s="276"/>
      <c r="D43" s="272"/>
      <c r="E43" s="273"/>
      <c r="F43" s="273"/>
      <c r="G43" s="294"/>
      <c r="H43" s="271"/>
      <c r="I43" s="271"/>
    </row>
    <row r="44" spans="2:9">
      <c r="B44" s="275"/>
      <c r="C44" s="272"/>
      <c r="D44" s="272"/>
      <c r="E44" s="273"/>
      <c r="F44" s="273"/>
      <c r="G44" s="294"/>
      <c r="H44" s="271"/>
      <c r="I44" s="271"/>
    </row>
    <row r="45" spans="2:9">
      <c r="B45" s="275"/>
      <c r="C45" s="272"/>
      <c r="D45" s="272"/>
      <c r="E45" s="273"/>
      <c r="F45" s="273"/>
      <c r="G45" s="294"/>
      <c r="H45" s="271"/>
      <c r="I45" s="271"/>
    </row>
    <row r="46" spans="2:9">
      <c r="B46" s="275"/>
      <c r="C46" s="272"/>
      <c r="D46" s="272"/>
      <c r="E46" s="273"/>
      <c r="F46" s="273"/>
      <c r="G46" s="294"/>
      <c r="H46" s="271"/>
      <c r="I46" s="271"/>
    </row>
    <row r="47" spans="2:9">
      <c r="B47" s="275"/>
      <c r="C47" s="303"/>
      <c r="D47" s="303"/>
      <c r="E47" s="273"/>
      <c r="F47" s="273"/>
      <c r="G47" s="294"/>
      <c r="H47" s="271"/>
      <c r="I47" s="271"/>
    </row>
    <row r="48" spans="2:9">
      <c r="B48" s="275"/>
      <c r="C48" s="272"/>
      <c r="D48" s="272"/>
      <c r="E48" s="273"/>
      <c r="F48" s="273"/>
      <c r="G48" s="294"/>
      <c r="H48" s="271"/>
      <c r="I48" s="271"/>
    </row>
    <row r="49" spans="2:9">
      <c r="B49" s="275"/>
      <c r="C49" s="272"/>
      <c r="D49" s="272"/>
      <c r="E49" s="273"/>
      <c r="F49" s="273"/>
      <c r="G49" s="294"/>
      <c r="H49" s="271"/>
      <c r="I49" s="271"/>
    </row>
    <row r="50" spans="2:9">
      <c r="B50" s="275"/>
      <c r="C50" s="272"/>
      <c r="D50" s="272"/>
      <c r="E50" s="273"/>
      <c r="F50" s="273"/>
      <c r="G50" s="294"/>
      <c r="H50" s="271"/>
      <c r="I50" s="271"/>
    </row>
    <row r="51" spans="2:9">
      <c r="B51" s="275"/>
      <c r="C51" s="272"/>
      <c r="D51" s="272"/>
      <c r="E51" s="273"/>
      <c r="F51" s="273"/>
      <c r="G51" s="294"/>
      <c r="H51" s="271"/>
      <c r="I51" s="271"/>
    </row>
    <row r="52" spans="2:9">
      <c r="B52" s="275"/>
      <c r="C52" s="272"/>
      <c r="D52" s="272"/>
      <c r="E52" s="273"/>
      <c r="F52" s="273"/>
      <c r="G52" s="294"/>
      <c r="H52" s="271"/>
      <c r="I52" s="271"/>
    </row>
    <row r="53" spans="2:9">
      <c r="B53" s="275"/>
      <c r="C53" s="272"/>
      <c r="D53" s="272"/>
      <c r="E53" s="273"/>
      <c r="F53" s="273"/>
      <c r="G53" s="294"/>
      <c r="H53" s="271"/>
      <c r="I53" s="271"/>
    </row>
    <row r="54" spans="2:9">
      <c r="B54" s="271"/>
      <c r="C54" s="271"/>
      <c r="D54" s="271"/>
      <c r="E54" s="273"/>
      <c r="F54" s="278"/>
      <c r="G54" s="279"/>
      <c r="H54" s="277"/>
      <c r="I54" s="277"/>
    </row>
    <row r="55" spans="2:9">
      <c r="B55" s="277"/>
      <c r="C55" s="271"/>
      <c r="D55" s="271"/>
      <c r="E55" s="273"/>
      <c r="F55" s="273"/>
      <c r="G55" s="279"/>
      <c r="H55" s="277"/>
      <c r="I55" s="277"/>
    </row>
    <row r="56" spans="2:9">
      <c r="B56" s="46"/>
      <c r="C56" s="46"/>
      <c r="D56" s="280"/>
      <c r="E56" s="278"/>
      <c r="F56" s="273"/>
      <c r="G56" s="279"/>
      <c r="H56" s="277"/>
      <c r="I56" s="277"/>
    </row>
    <row r="57" spans="2:9">
      <c r="B57" s="277"/>
      <c r="C57" s="275"/>
      <c r="D57" s="280"/>
      <c r="E57" s="278"/>
      <c r="F57" s="273"/>
      <c r="G57" s="279"/>
      <c r="H57" s="277"/>
      <c r="I57" s="277"/>
    </row>
    <row r="58" spans="2:9">
      <c r="B58" s="145"/>
      <c r="C58" s="85"/>
      <c r="D58" s="85"/>
      <c r="E58" s="147"/>
      <c r="F58" s="147"/>
      <c r="G58" s="148"/>
      <c r="H58" s="145"/>
      <c r="I58" s="145"/>
    </row>
    <row r="59" spans="2:9">
      <c r="B59" s="145"/>
      <c r="C59" s="85"/>
      <c r="D59" s="85"/>
      <c r="E59" s="147"/>
      <c r="F59" s="147"/>
      <c r="G59" s="148"/>
      <c r="H59" s="145"/>
      <c r="I59" s="145"/>
    </row>
    <row r="60" spans="2:9">
      <c r="B60" s="145"/>
      <c r="C60" s="85"/>
      <c r="D60" s="85"/>
      <c r="E60" s="147"/>
      <c r="F60" s="147"/>
      <c r="G60" s="148"/>
      <c r="H60" s="145"/>
      <c r="I60" s="145"/>
    </row>
    <row r="61" spans="2:9">
      <c r="B61" s="145"/>
      <c r="C61" s="85"/>
      <c r="D61" s="85"/>
      <c r="E61" s="147"/>
      <c r="F61" s="147"/>
      <c r="G61" s="148"/>
      <c r="H61" s="145"/>
      <c r="I61" s="145"/>
    </row>
    <row r="62" spans="2:9">
      <c r="B62" s="145"/>
      <c r="C62" s="85"/>
      <c r="D62" s="85"/>
      <c r="E62" s="147"/>
      <c r="F62" s="147"/>
      <c r="G62" s="148"/>
      <c r="H62" s="145"/>
      <c r="I62" s="145"/>
    </row>
    <row r="63" spans="2:9">
      <c r="B63" s="145"/>
      <c r="C63" s="23"/>
      <c r="D63" s="23"/>
      <c r="E63" s="99"/>
      <c r="F63" s="147"/>
      <c r="G63" s="148"/>
      <c r="H63" s="145"/>
      <c r="I63" s="145"/>
    </row>
    <row r="64" spans="2:9">
      <c r="B64" s="46"/>
      <c r="C64" s="303"/>
      <c r="D64" s="303"/>
      <c r="E64" s="99"/>
      <c r="F64" s="99"/>
      <c r="G64" s="63"/>
      <c r="H64" s="23"/>
      <c r="I64" s="23"/>
    </row>
    <row r="65" spans="2:9">
      <c r="B65" s="46"/>
      <c r="D65" s="303"/>
      <c r="E65" s="99"/>
      <c r="F65" s="99"/>
      <c r="G65" s="63"/>
      <c r="H65" s="23"/>
      <c r="I65" s="23"/>
    </row>
    <row r="66" spans="2:9">
      <c r="B66" s="85"/>
      <c r="C66" s="85"/>
      <c r="D66" s="85"/>
      <c r="E66" s="147"/>
      <c r="F66" s="147"/>
      <c r="G66" s="85"/>
      <c r="H66" s="85"/>
      <c r="I66" s="85"/>
    </row>
    <row r="67" spans="2:9">
      <c r="B67" s="85"/>
      <c r="C67" s="85"/>
      <c r="D67" s="85"/>
      <c r="E67" s="147"/>
      <c r="F67" s="147"/>
      <c r="G67" s="85"/>
      <c r="H67" s="85"/>
      <c r="I67" s="85"/>
    </row>
    <row r="68" spans="2:9">
      <c r="B68" s="145"/>
      <c r="C68" s="145"/>
      <c r="D68" s="145"/>
      <c r="E68" s="147"/>
      <c r="F68" s="147"/>
      <c r="G68" s="145"/>
      <c r="H68" s="145"/>
      <c r="I68" s="14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C000"/>
  </sheetPr>
  <dimension ref="A3:AQ19"/>
  <sheetViews>
    <sheetView workbookViewId="0">
      <selection activeCell="B18" sqref="B18"/>
    </sheetView>
  </sheetViews>
  <sheetFormatPr defaultColWidth="9.109375" defaultRowHeight="14.4"/>
  <cols>
    <col min="1" max="1" width="11.33203125" style="367" bestFit="1" customWidth="1"/>
    <col min="2" max="2" width="39.109375" style="367" bestFit="1" customWidth="1"/>
    <col min="3" max="3" width="12.44140625" style="367" bestFit="1" customWidth="1"/>
    <col min="4" max="4" width="39.109375" style="367" bestFit="1" customWidth="1"/>
    <col min="5" max="16384" width="9.109375" style="367"/>
  </cols>
  <sheetData>
    <row r="3" spans="1:43">
      <c r="F3" s="64" t="s">
        <v>0</v>
      </c>
    </row>
    <row r="4" spans="1:43" s="46" customFormat="1" ht="43.2">
      <c r="A4" s="65" t="s">
        <v>1</v>
      </c>
      <c r="B4" s="65" t="s">
        <v>2</v>
      </c>
      <c r="C4" s="65" t="s">
        <v>3</v>
      </c>
      <c r="D4" s="66" t="s">
        <v>4</v>
      </c>
      <c r="E4" s="66" t="s">
        <v>427</v>
      </c>
      <c r="F4" s="65" t="s">
        <v>5</v>
      </c>
      <c r="G4" s="65" t="s">
        <v>6</v>
      </c>
      <c r="H4" s="67" t="s">
        <v>7</v>
      </c>
      <c r="I4" s="65" t="s">
        <v>628</v>
      </c>
      <c r="J4" s="65" t="s">
        <v>325</v>
      </c>
      <c r="K4" s="65" t="s">
        <v>8</v>
      </c>
      <c r="L4" s="67" t="s">
        <v>317</v>
      </c>
      <c r="M4" s="67" t="s">
        <v>314</v>
      </c>
      <c r="N4" s="67" t="s">
        <v>321</v>
      </c>
      <c r="O4" s="67" t="s">
        <v>174</v>
      </c>
      <c r="P4" s="67" t="s">
        <v>183</v>
      </c>
      <c r="Q4" s="65" t="s">
        <v>47</v>
      </c>
      <c r="R4" s="65" t="s">
        <v>9</v>
      </c>
      <c r="S4" s="65" t="s">
        <v>10</v>
      </c>
      <c r="T4" s="65" t="s">
        <v>11</v>
      </c>
      <c r="U4" s="65" t="s">
        <v>12</v>
      </c>
      <c r="V4" s="65" t="s">
        <v>13</v>
      </c>
      <c r="W4" s="65" t="s">
        <v>14</v>
      </c>
      <c r="X4" s="65" t="s">
        <v>15</v>
      </c>
      <c r="Y4" s="65" t="s">
        <v>16</v>
      </c>
      <c r="Z4" s="65" t="s">
        <v>28</v>
      </c>
      <c r="AA4" s="150" t="s">
        <v>624</v>
      </c>
      <c r="AB4" s="150" t="s">
        <v>625</v>
      </c>
      <c r="AC4" s="150" t="s">
        <v>626</v>
      </c>
      <c r="AD4" s="150" t="s">
        <v>627</v>
      </c>
      <c r="AE4" s="298" t="s">
        <v>333</v>
      </c>
      <c r="AF4" s="65" t="s">
        <v>17</v>
      </c>
      <c r="AJ4" s="302"/>
      <c r="AK4" s="302"/>
      <c r="AL4" s="302"/>
      <c r="AM4" s="302"/>
      <c r="AN4" s="302"/>
      <c r="AO4" s="302"/>
      <c r="AP4" s="302"/>
    </row>
    <row r="5" spans="1:43" s="58" customFormat="1" ht="81.599999999999994" customHeight="1">
      <c r="A5" s="68" t="s">
        <v>18</v>
      </c>
      <c r="B5" s="68"/>
      <c r="C5" s="68" t="s">
        <v>197</v>
      </c>
      <c r="D5" s="69" t="s">
        <v>198</v>
      </c>
      <c r="E5" s="69" t="s">
        <v>198</v>
      </c>
      <c r="F5" s="68"/>
      <c r="G5" s="68" t="s">
        <v>194</v>
      </c>
      <c r="H5" s="68" t="s">
        <v>201</v>
      </c>
      <c r="I5" s="68" t="s">
        <v>315</v>
      </c>
      <c r="J5" s="68" t="s">
        <v>324</v>
      </c>
      <c r="K5" s="68" t="s">
        <v>553</v>
      </c>
      <c r="L5" s="68" t="s">
        <v>318</v>
      </c>
      <c r="M5" s="68" t="s">
        <v>327</v>
      </c>
      <c r="N5" s="68" t="s">
        <v>326</v>
      </c>
      <c r="O5" s="68" t="s">
        <v>176</v>
      </c>
      <c r="P5" s="68" t="s">
        <v>219</v>
      </c>
      <c r="Q5" s="68" t="s">
        <v>202</v>
      </c>
      <c r="R5" s="68" t="s">
        <v>202</v>
      </c>
      <c r="S5" s="68" t="s">
        <v>203</v>
      </c>
      <c r="T5" s="68" t="s">
        <v>190</v>
      </c>
      <c r="U5" s="68" t="s">
        <v>191</v>
      </c>
      <c r="V5" s="68" t="s">
        <v>192</v>
      </c>
      <c r="W5" s="68" t="s">
        <v>184</v>
      </c>
      <c r="X5" s="68" t="s">
        <v>186</v>
      </c>
      <c r="Y5" s="68" t="s">
        <v>185</v>
      </c>
      <c r="Z5" s="68" t="s">
        <v>188</v>
      </c>
      <c r="AA5" s="68" t="s">
        <v>193</v>
      </c>
      <c r="AB5" s="68" t="s">
        <v>193</v>
      </c>
      <c r="AC5" s="68" t="s">
        <v>193</v>
      </c>
      <c r="AD5" s="68" t="s">
        <v>193</v>
      </c>
      <c r="AE5" s="153"/>
      <c r="AF5" s="68" t="s">
        <v>187</v>
      </c>
      <c r="AH5" s="58" t="s">
        <v>524</v>
      </c>
      <c r="AJ5" s="59"/>
      <c r="AK5" s="59"/>
      <c r="AL5" s="59"/>
      <c r="AM5" s="59"/>
      <c r="AN5" s="59"/>
      <c r="AO5" s="59"/>
      <c r="AP5" s="59"/>
    </row>
    <row r="6" spans="1:43" s="46" customFormat="1" ht="17.100000000000001" customHeight="1" thickBot="1">
      <c r="A6" s="70" t="s">
        <v>19</v>
      </c>
      <c r="B6" s="71"/>
      <c r="C6" s="71"/>
      <c r="D6" s="72"/>
      <c r="E6" s="72" t="s">
        <v>428</v>
      </c>
      <c r="F6" s="71"/>
      <c r="G6" s="71"/>
      <c r="H6" s="71" t="s">
        <v>20</v>
      </c>
      <c r="I6" s="71"/>
      <c r="J6" s="71"/>
      <c r="K6" s="71"/>
      <c r="L6" s="71"/>
      <c r="M6" s="71"/>
      <c r="N6" s="71"/>
      <c r="O6" s="71"/>
      <c r="P6" s="73"/>
      <c r="Q6" s="71"/>
      <c r="R6" s="71"/>
      <c r="S6" s="71"/>
      <c r="T6" s="71" t="s">
        <v>21</v>
      </c>
      <c r="U6" s="71" t="s">
        <v>21</v>
      </c>
      <c r="V6" s="71" t="s">
        <v>22</v>
      </c>
      <c r="W6" s="71" t="s">
        <v>23</v>
      </c>
      <c r="X6" s="71" t="s">
        <v>23</v>
      </c>
      <c r="Y6" s="71"/>
      <c r="Z6" s="71" t="s">
        <v>24</v>
      </c>
      <c r="AA6" s="71" t="s">
        <v>25</v>
      </c>
      <c r="AB6" s="71" t="s">
        <v>25</v>
      </c>
      <c r="AC6" s="71" t="s">
        <v>25</v>
      </c>
      <c r="AD6" s="71" t="s">
        <v>25</v>
      </c>
      <c r="AE6" s="297"/>
      <c r="AF6" s="71" t="s">
        <v>395</v>
      </c>
      <c r="AJ6" s="71" t="s">
        <v>213</v>
      </c>
      <c r="AK6" s="71" t="s">
        <v>212</v>
      </c>
      <c r="AL6" s="71" t="s">
        <v>211</v>
      </c>
      <c r="AM6" s="311" t="s">
        <v>438</v>
      </c>
      <c r="AN6" s="312" t="s">
        <v>423</v>
      </c>
      <c r="AO6" s="312" t="s">
        <v>424</v>
      </c>
      <c r="AP6" s="312" t="s">
        <v>425</v>
      </c>
      <c r="AQ6" s="312" t="s">
        <v>426</v>
      </c>
    </row>
    <row r="7" spans="1:43" s="46" customFormat="1">
      <c r="A7" s="475" t="str">
        <f>ELC_Processes_CEN!C45</f>
        <v>INDSOLPV5N</v>
      </c>
      <c r="B7" s="486" t="s">
        <v>618</v>
      </c>
      <c r="C7" s="475" t="s">
        <v>621</v>
      </c>
      <c r="D7" s="486" t="s">
        <v>26</v>
      </c>
      <c r="E7" s="485" t="s">
        <v>551</v>
      </c>
      <c r="F7" s="475">
        <v>2015</v>
      </c>
      <c r="G7" s="475">
        <v>2015</v>
      </c>
      <c r="H7" s="475">
        <v>0.01</v>
      </c>
      <c r="I7" s="475">
        <v>0.2</v>
      </c>
      <c r="J7" s="475"/>
      <c r="K7" s="484">
        <v>1</v>
      </c>
      <c r="L7" s="484"/>
      <c r="M7" s="484"/>
      <c r="N7" s="178"/>
      <c r="O7" s="475"/>
      <c r="P7" s="475"/>
      <c r="Q7" s="475"/>
      <c r="R7" s="475"/>
      <c r="S7" s="475"/>
      <c r="T7" s="489">
        <f>AN7*7.45</f>
        <v>9.3422999999999998</v>
      </c>
      <c r="U7" s="489">
        <f>AO7*7.45/1000000</f>
        <v>9.3423000000000006E-2</v>
      </c>
      <c r="V7" s="489"/>
      <c r="W7" s="482">
        <f>3.6*8760/1000000</f>
        <v>3.1536000000000002E-2</v>
      </c>
      <c r="X7" s="484"/>
      <c r="Y7" s="480">
        <v>0.26</v>
      </c>
      <c r="Z7" s="490">
        <v>30</v>
      </c>
      <c r="AA7" s="489"/>
      <c r="AB7" s="489"/>
      <c r="AC7" s="489"/>
      <c r="AD7" s="181"/>
      <c r="AE7" s="181">
        <v>5</v>
      </c>
      <c r="AF7" s="477">
        <v>1</v>
      </c>
      <c r="AG7" s="178"/>
      <c r="AH7" s="300">
        <f>1024.11195315/8760</f>
        <v>0.11690775720890412</v>
      </c>
      <c r="AI7" s="178"/>
      <c r="AJ7" s="393" t="s">
        <v>614</v>
      </c>
      <c r="AK7" s="60" t="s">
        <v>613</v>
      </c>
      <c r="AL7" s="302" t="s">
        <v>334</v>
      </c>
      <c r="AM7" s="178"/>
      <c r="AN7" s="488">
        <v>1.254</v>
      </c>
      <c r="AO7" s="493">
        <v>12540</v>
      </c>
      <c r="AP7" s="178"/>
      <c r="AQ7" s="493">
        <v>1024.1119531500001</v>
      </c>
    </row>
    <row r="8" spans="1:43" s="46" customFormat="1">
      <c r="A8" s="475"/>
      <c r="B8" s="486"/>
      <c r="C8" s="475"/>
      <c r="D8" s="486" t="s">
        <v>620</v>
      </c>
      <c r="E8" s="491"/>
      <c r="F8" s="475"/>
      <c r="G8" s="475"/>
      <c r="H8" s="475"/>
      <c r="I8" s="475">
        <v>0</v>
      </c>
      <c r="J8" s="475"/>
      <c r="K8" s="484"/>
      <c r="L8" s="484"/>
      <c r="M8" s="484"/>
      <c r="N8" s="178"/>
      <c r="O8" s="475"/>
      <c r="P8" s="475"/>
      <c r="Q8" s="475"/>
      <c r="R8" s="475"/>
      <c r="S8" s="475"/>
      <c r="T8" s="489"/>
      <c r="U8" s="489"/>
      <c r="V8" s="489"/>
      <c r="W8" s="482"/>
      <c r="X8" s="484"/>
      <c r="Y8" s="480"/>
      <c r="Z8" s="490"/>
      <c r="AA8" s="489"/>
      <c r="AB8" s="489"/>
      <c r="AC8" s="489"/>
      <c r="AD8" s="181"/>
      <c r="AE8" s="181">
        <v>5</v>
      </c>
      <c r="AF8" s="477"/>
      <c r="AG8" s="178"/>
      <c r="AH8" s="300"/>
      <c r="AI8" s="178"/>
      <c r="AJ8" s="393"/>
      <c r="AK8" s="60"/>
      <c r="AL8" s="302"/>
      <c r="AM8" s="178"/>
      <c r="AN8" s="488"/>
      <c r="AO8" s="493"/>
      <c r="AP8" s="178"/>
      <c r="AQ8" s="493"/>
    </row>
    <row r="9" spans="1:43" s="46" customFormat="1">
      <c r="A9" s="475"/>
      <c r="B9" s="486"/>
      <c r="C9" s="475"/>
      <c r="D9" s="486"/>
      <c r="E9" s="485" t="s">
        <v>551</v>
      </c>
      <c r="F9" s="479">
        <v>2020</v>
      </c>
      <c r="G9" s="479"/>
      <c r="H9" s="475">
        <v>0.01</v>
      </c>
      <c r="I9" s="475"/>
      <c r="J9" s="475"/>
      <c r="K9" s="484">
        <v>1</v>
      </c>
      <c r="L9" s="481"/>
      <c r="M9" s="481"/>
      <c r="N9" s="23"/>
      <c r="O9" s="479"/>
      <c r="P9" s="479"/>
      <c r="Q9" s="479"/>
      <c r="R9" s="479"/>
      <c r="S9" s="479"/>
      <c r="T9" s="489">
        <f>AN9*7.45</f>
        <v>7.9409549999999989</v>
      </c>
      <c r="U9" s="483">
        <f>AO9*7.45/1000000</f>
        <v>7.9417000000000001E-2</v>
      </c>
      <c r="V9" s="483"/>
      <c r="W9" s="482">
        <f>3.6*8760/1000000</f>
        <v>3.1536000000000002E-2</v>
      </c>
      <c r="X9" s="481"/>
      <c r="Y9" s="480">
        <v>0.26</v>
      </c>
      <c r="Z9" s="479">
        <v>35</v>
      </c>
      <c r="AA9" s="478"/>
      <c r="AB9" s="478"/>
      <c r="AC9" s="478"/>
      <c r="AD9" s="28"/>
      <c r="AE9" s="28"/>
      <c r="AF9" s="477">
        <v>1</v>
      </c>
      <c r="AH9" s="300">
        <f>1106.112482475/8760</f>
        <v>0.12626854822773972</v>
      </c>
      <c r="AJ9" s="393" t="s">
        <v>614</v>
      </c>
      <c r="AK9" s="60" t="s">
        <v>613</v>
      </c>
      <c r="AL9" s="302" t="s">
        <v>334</v>
      </c>
      <c r="AN9" s="314">
        <v>1.0658999999999998</v>
      </c>
      <c r="AO9" s="492">
        <v>10660</v>
      </c>
      <c r="AQ9" s="492">
        <v>1106.1124824750002</v>
      </c>
    </row>
    <row r="10" spans="1:43" s="46" customFormat="1">
      <c r="A10" s="475"/>
      <c r="B10" s="486"/>
      <c r="C10" s="475"/>
      <c r="D10" s="486"/>
      <c r="E10" s="485" t="s">
        <v>551</v>
      </c>
      <c r="F10" s="479">
        <v>2030</v>
      </c>
      <c r="G10" s="479"/>
      <c r="H10" s="475">
        <v>0.01</v>
      </c>
      <c r="I10" s="475"/>
      <c r="J10" s="475"/>
      <c r="K10" s="484">
        <v>1</v>
      </c>
      <c r="L10" s="481"/>
      <c r="M10" s="481"/>
      <c r="N10" s="23"/>
      <c r="O10" s="479"/>
      <c r="P10" s="479"/>
      <c r="Q10" s="479"/>
      <c r="R10" s="479"/>
      <c r="S10" s="479"/>
      <c r="T10" s="489">
        <f>AN10*7.45</f>
        <v>6.3527639999999996</v>
      </c>
      <c r="U10" s="483">
        <f>AO10*7.45/1000000</f>
        <v>6.3548499999999994E-2</v>
      </c>
      <c r="V10" s="483"/>
      <c r="W10" s="482">
        <f>3.6*8760/1000000</f>
        <v>3.1536000000000002E-2</v>
      </c>
      <c r="X10" s="481"/>
      <c r="Y10" s="480">
        <v>0.26</v>
      </c>
      <c r="Z10" s="479">
        <v>40</v>
      </c>
      <c r="AA10" s="478"/>
      <c r="AB10" s="478"/>
      <c r="AC10" s="478"/>
      <c r="AD10" s="28"/>
      <c r="AE10" s="28"/>
      <c r="AF10" s="477">
        <v>1</v>
      </c>
      <c r="AH10" s="300">
        <f>1142.016725355/8760</f>
        <v>0.13036720609075342</v>
      </c>
      <c r="AJ10" s="393" t="s">
        <v>614</v>
      </c>
      <c r="AK10" s="60" t="s">
        <v>613</v>
      </c>
      <c r="AL10" s="302" t="s">
        <v>334</v>
      </c>
      <c r="AN10" s="314">
        <v>0.85271999999999992</v>
      </c>
      <c r="AO10" s="492">
        <v>8530</v>
      </c>
      <c r="AQ10" s="492">
        <v>1142.0167253550001</v>
      </c>
    </row>
    <row r="11" spans="1:43" s="46" customFormat="1">
      <c r="A11" s="475"/>
      <c r="B11" s="486"/>
      <c r="C11" s="475"/>
      <c r="D11" s="486"/>
      <c r="E11" s="485" t="s">
        <v>551</v>
      </c>
      <c r="F11" s="479">
        <v>2050</v>
      </c>
      <c r="G11" s="479"/>
      <c r="H11" s="475">
        <v>0.01</v>
      </c>
      <c r="I11" s="475"/>
      <c r="J11" s="475"/>
      <c r="K11" s="484">
        <v>1</v>
      </c>
      <c r="L11" s="481"/>
      <c r="M11" s="481"/>
      <c r="N11" s="23"/>
      <c r="O11" s="479"/>
      <c r="P11" s="479"/>
      <c r="Q11" s="479"/>
      <c r="R11" s="479"/>
      <c r="S11" s="479"/>
      <c r="T11" s="489">
        <f>AN11*7.45</f>
        <v>5.399849399999999</v>
      </c>
      <c r="U11" s="483">
        <f>AO11*7.45/1000000</f>
        <v>5.4012499999999998E-2</v>
      </c>
      <c r="V11" s="483"/>
      <c r="W11" s="482">
        <f>3.6*8760/1000000</f>
        <v>3.1536000000000002E-2</v>
      </c>
      <c r="X11" s="481"/>
      <c r="Y11" s="480">
        <v>0.26</v>
      </c>
      <c r="Z11" s="479">
        <v>40</v>
      </c>
      <c r="AA11" s="478"/>
      <c r="AB11" s="478"/>
      <c r="AC11" s="478"/>
      <c r="AD11" s="28"/>
      <c r="AE11" s="28"/>
      <c r="AF11" s="477">
        <v>1</v>
      </c>
      <c r="AH11" s="300">
        <f>1178.4496977/8760</f>
        <v>0.13452622119863011</v>
      </c>
      <c r="AJ11" s="393" t="s">
        <v>614</v>
      </c>
      <c r="AK11" s="60" t="s">
        <v>613</v>
      </c>
      <c r="AL11" s="302" t="s">
        <v>334</v>
      </c>
      <c r="AN11" s="314">
        <v>0.7248119999999999</v>
      </c>
      <c r="AO11" s="492">
        <v>7250</v>
      </c>
      <c r="AQ11" s="492">
        <v>1178.4496977000001</v>
      </c>
    </row>
    <row r="17" spans="2:9">
      <c r="B17" s="267" t="s">
        <v>631</v>
      </c>
      <c r="C17" s="268"/>
      <c r="D17" s="268"/>
      <c r="E17" s="268"/>
      <c r="F17" s="268"/>
      <c r="G17" s="268"/>
      <c r="H17" s="268"/>
      <c r="I17" s="268"/>
    </row>
    <row r="18" spans="2:9">
      <c r="B18" s="269" t="s">
        <v>50</v>
      </c>
      <c r="C18" s="269" t="s">
        <v>1</v>
      </c>
      <c r="D18" s="269" t="s">
        <v>51</v>
      </c>
      <c r="E18" s="269" t="s">
        <v>52</v>
      </c>
      <c r="F18" s="269" t="s">
        <v>53</v>
      </c>
      <c r="G18" s="269" t="s">
        <v>54</v>
      </c>
      <c r="H18" s="269" t="s">
        <v>55</v>
      </c>
      <c r="I18" s="269" t="s">
        <v>56</v>
      </c>
    </row>
    <row r="19" spans="2:9" ht="57.6">
      <c r="B19" s="270" t="s">
        <v>57</v>
      </c>
      <c r="C19" s="270" t="s">
        <v>58</v>
      </c>
      <c r="D19" s="270" t="s">
        <v>59</v>
      </c>
      <c r="E19" s="270" t="s">
        <v>60</v>
      </c>
      <c r="F19" s="270" t="s">
        <v>61</v>
      </c>
      <c r="G19" s="270" t="s">
        <v>62</v>
      </c>
      <c r="H19" s="270" t="s">
        <v>63</v>
      </c>
      <c r="I19" s="270" t="s">
        <v>64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</sheetPr>
  <dimension ref="A3:AQ19"/>
  <sheetViews>
    <sheetView workbookViewId="0">
      <selection activeCell="B10" sqref="B10"/>
    </sheetView>
  </sheetViews>
  <sheetFormatPr defaultColWidth="9.109375" defaultRowHeight="14.4"/>
  <cols>
    <col min="1" max="1" width="11.33203125" style="367" bestFit="1" customWidth="1"/>
    <col min="2" max="2" width="39.109375" style="367" bestFit="1" customWidth="1"/>
    <col min="3" max="3" width="11.33203125" style="367" bestFit="1" customWidth="1"/>
    <col min="4" max="4" width="39.109375" style="367" bestFit="1" customWidth="1"/>
    <col min="5" max="16384" width="9.109375" style="367"/>
  </cols>
  <sheetData>
    <row r="3" spans="1:43">
      <c r="F3" s="64" t="s">
        <v>0</v>
      </c>
    </row>
    <row r="4" spans="1:43" s="46" customFormat="1" ht="43.2">
      <c r="A4" s="65" t="s">
        <v>1</v>
      </c>
      <c r="B4" s="65" t="s">
        <v>2</v>
      </c>
      <c r="C4" s="65" t="s">
        <v>3</v>
      </c>
      <c r="D4" s="66" t="s">
        <v>4</v>
      </c>
      <c r="E4" s="66" t="s">
        <v>427</v>
      </c>
      <c r="F4" s="65" t="s">
        <v>5</v>
      </c>
      <c r="G4" s="65" t="s">
        <v>6</v>
      </c>
      <c r="H4" s="67" t="s">
        <v>7</v>
      </c>
      <c r="I4" s="65" t="s">
        <v>628</v>
      </c>
      <c r="J4" s="65" t="s">
        <v>325</v>
      </c>
      <c r="K4" s="65" t="s">
        <v>8</v>
      </c>
      <c r="L4" s="67" t="s">
        <v>317</v>
      </c>
      <c r="M4" s="67" t="s">
        <v>314</v>
      </c>
      <c r="N4" s="67" t="s">
        <v>321</v>
      </c>
      <c r="O4" s="67" t="s">
        <v>174</v>
      </c>
      <c r="P4" s="67" t="s">
        <v>183</v>
      </c>
      <c r="Q4" s="65" t="s">
        <v>47</v>
      </c>
      <c r="R4" s="65" t="s">
        <v>9</v>
      </c>
      <c r="S4" s="65" t="s">
        <v>10</v>
      </c>
      <c r="T4" s="65" t="s">
        <v>11</v>
      </c>
      <c r="U4" s="65" t="s">
        <v>12</v>
      </c>
      <c r="V4" s="65" t="s">
        <v>13</v>
      </c>
      <c r="W4" s="65" t="s">
        <v>14</v>
      </c>
      <c r="X4" s="65" t="s">
        <v>15</v>
      </c>
      <c r="Y4" s="65" t="s">
        <v>16</v>
      </c>
      <c r="Z4" s="65" t="s">
        <v>28</v>
      </c>
      <c r="AA4" s="150" t="s">
        <v>624</v>
      </c>
      <c r="AB4" s="150" t="s">
        <v>625</v>
      </c>
      <c r="AC4" s="150" t="s">
        <v>626</v>
      </c>
      <c r="AD4" s="150" t="s">
        <v>627</v>
      </c>
      <c r="AE4" s="298" t="s">
        <v>630</v>
      </c>
      <c r="AF4" s="65" t="s">
        <v>17</v>
      </c>
      <c r="AJ4" s="302"/>
      <c r="AK4" s="302"/>
      <c r="AL4" s="302"/>
      <c r="AM4" s="302"/>
      <c r="AN4" s="302"/>
      <c r="AO4" s="302"/>
      <c r="AP4" s="302"/>
    </row>
    <row r="5" spans="1:43" s="58" customFormat="1" ht="81.599999999999994" customHeight="1">
      <c r="A5" s="68" t="s">
        <v>18</v>
      </c>
      <c r="B5" s="68"/>
      <c r="C5" s="68" t="s">
        <v>197</v>
      </c>
      <c r="D5" s="69" t="s">
        <v>198</v>
      </c>
      <c r="E5" s="69" t="s">
        <v>198</v>
      </c>
      <c r="F5" s="68"/>
      <c r="G5" s="68" t="s">
        <v>194</v>
      </c>
      <c r="H5" s="68" t="s">
        <v>201</v>
      </c>
      <c r="I5" s="68" t="s">
        <v>629</v>
      </c>
      <c r="J5" s="68" t="s">
        <v>324</v>
      </c>
      <c r="K5" s="68" t="s">
        <v>553</v>
      </c>
      <c r="L5" s="68" t="s">
        <v>318</v>
      </c>
      <c r="M5" s="68" t="s">
        <v>327</v>
      </c>
      <c r="N5" s="68" t="s">
        <v>326</v>
      </c>
      <c r="O5" s="68" t="s">
        <v>176</v>
      </c>
      <c r="P5" s="68" t="s">
        <v>219</v>
      </c>
      <c r="Q5" s="68" t="s">
        <v>202</v>
      </c>
      <c r="R5" s="68" t="s">
        <v>202</v>
      </c>
      <c r="S5" s="68" t="s">
        <v>203</v>
      </c>
      <c r="T5" s="68" t="s">
        <v>190</v>
      </c>
      <c r="U5" s="68" t="s">
        <v>191</v>
      </c>
      <c r="V5" s="68" t="s">
        <v>192</v>
      </c>
      <c r="W5" s="68" t="s">
        <v>184</v>
      </c>
      <c r="X5" s="68" t="s">
        <v>186</v>
      </c>
      <c r="Y5" s="68" t="s">
        <v>185</v>
      </c>
      <c r="Z5" s="68" t="s">
        <v>188</v>
      </c>
      <c r="AA5" s="68" t="s">
        <v>193</v>
      </c>
      <c r="AB5" s="68" t="s">
        <v>193</v>
      </c>
      <c r="AC5" s="68" t="s">
        <v>193</v>
      </c>
      <c r="AD5" s="68" t="s">
        <v>193</v>
      </c>
      <c r="AE5" s="494"/>
      <c r="AF5" s="68" t="s">
        <v>187</v>
      </c>
      <c r="AH5" s="58" t="s">
        <v>524</v>
      </c>
      <c r="AJ5" s="59"/>
      <c r="AK5" s="59"/>
      <c r="AL5" s="59"/>
      <c r="AM5" s="59"/>
      <c r="AN5" s="59"/>
      <c r="AO5" s="59"/>
      <c r="AP5" s="59"/>
    </row>
    <row r="6" spans="1:43" s="46" customFormat="1" ht="17.100000000000001" customHeight="1" thickBot="1">
      <c r="A6" s="70" t="s">
        <v>19</v>
      </c>
      <c r="B6" s="71"/>
      <c r="C6" s="71"/>
      <c r="D6" s="72"/>
      <c r="E6" s="72" t="s">
        <v>428</v>
      </c>
      <c r="F6" s="71"/>
      <c r="G6" s="71"/>
      <c r="H6" s="71" t="s">
        <v>20</v>
      </c>
      <c r="I6" s="71"/>
      <c r="J6" s="71"/>
      <c r="K6" s="71"/>
      <c r="L6" s="71"/>
      <c r="M6" s="71"/>
      <c r="N6" s="71"/>
      <c r="O6" s="71"/>
      <c r="P6" s="73"/>
      <c r="Q6" s="71"/>
      <c r="R6" s="71"/>
      <c r="S6" s="71"/>
      <c r="T6" s="71" t="s">
        <v>21</v>
      </c>
      <c r="U6" s="71" t="s">
        <v>21</v>
      </c>
      <c r="V6" s="71" t="s">
        <v>22</v>
      </c>
      <c r="W6" s="71" t="s">
        <v>23</v>
      </c>
      <c r="X6" s="71" t="s">
        <v>23</v>
      </c>
      <c r="Y6" s="71"/>
      <c r="Z6" s="71" t="s">
        <v>24</v>
      </c>
      <c r="AA6" s="71" t="s">
        <v>25</v>
      </c>
      <c r="AB6" s="71" t="s">
        <v>25</v>
      </c>
      <c r="AC6" s="71" t="s">
        <v>25</v>
      </c>
      <c r="AD6" s="71" t="s">
        <v>25</v>
      </c>
      <c r="AE6" s="297"/>
      <c r="AF6" s="71" t="s">
        <v>395</v>
      </c>
      <c r="AJ6" s="71" t="s">
        <v>213</v>
      </c>
      <c r="AK6" s="71" t="s">
        <v>212</v>
      </c>
      <c r="AL6" s="71" t="s">
        <v>211</v>
      </c>
      <c r="AM6" s="311" t="s">
        <v>438</v>
      </c>
      <c r="AN6" s="312" t="s">
        <v>423</v>
      </c>
      <c r="AO6" s="312" t="s">
        <v>424</v>
      </c>
      <c r="AP6" s="312" t="s">
        <v>425</v>
      </c>
      <c r="AQ6" s="312" t="s">
        <v>426</v>
      </c>
    </row>
    <row r="7" spans="1:43" s="46" customFormat="1">
      <c r="A7" s="475" t="str">
        <f>ELC_Processes_CEN!C46</f>
        <v>RESSOLPV5N</v>
      </c>
      <c r="B7" s="475" t="s">
        <v>611</v>
      </c>
      <c r="C7" s="475" t="s">
        <v>617</v>
      </c>
      <c r="D7" s="486" t="s">
        <v>26</v>
      </c>
      <c r="E7" s="485" t="s">
        <v>551</v>
      </c>
      <c r="F7" s="475">
        <v>2015</v>
      </c>
      <c r="G7" s="475">
        <v>2015</v>
      </c>
      <c r="H7" s="475">
        <v>4.0000000000000001E-3</v>
      </c>
      <c r="I7" s="475">
        <v>0.6</v>
      </c>
      <c r="J7" s="475"/>
      <c r="K7" s="484">
        <v>1</v>
      </c>
      <c r="L7" s="484"/>
      <c r="M7" s="484"/>
      <c r="N7" s="178"/>
      <c r="O7" s="475"/>
      <c r="P7" s="475"/>
      <c r="Q7" s="475"/>
      <c r="R7" s="475"/>
      <c r="S7" s="475"/>
      <c r="T7" s="489">
        <f>AN7*7.45</f>
        <v>10.951499999999999</v>
      </c>
      <c r="U7" s="489">
        <f>AO7*7.45/1000000</f>
        <v>0.109515</v>
      </c>
      <c r="V7" s="489"/>
      <c r="W7" s="482">
        <f>3.6*8760/1000000</f>
        <v>3.1536000000000002E-2</v>
      </c>
      <c r="X7" s="484"/>
      <c r="Y7" s="480">
        <v>0.26</v>
      </c>
      <c r="Z7" s="490">
        <v>30</v>
      </c>
      <c r="AA7" s="489"/>
      <c r="AB7" s="489"/>
      <c r="AC7" s="489"/>
      <c r="AD7" s="181"/>
      <c r="AE7" s="181">
        <v>5</v>
      </c>
      <c r="AF7" s="477">
        <v>0</v>
      </c>
      <c r="AG7" s="178"/>
      <c r="AH7" s="300">
        <f>961.239573525/8760</f>
        <v>0.10973054492294521</v>
      </c>
      <c r="AI7" s="178"/>
      <c r="AJ7" s="393" t="s">
        <v>614</v>
      </c>
      <c r="AK7" s="60" t="s">
        <v>613</v>
      </c>
      <c r="AL7" s="302" t="s">
        <v>334</v>
      </c>
      <c r="AM7" s="178"/>
      <c r="AN7" s="488">
        <v>1.47</v>
      </c>
      <c r="AO7" s="487">
        <v>14700</v>
      </c>
      <c r="AP7" s="178"/>
      <c r="AQ7" s="487">
        <v>961.2395735250002</v>
      </c>
    </row>
    <row r="8" spans="1:43" s="46" customFormat="1">
      <c r="A8" s="475"/>
      <c r="B8" s="475"/>
      <c r="C8" s="475"/>
      <c r="D8" s="486" t="s">
        <v>616</v>
      </c>
      <c r="E8" s="491"/>
      <c r="F8" s="475"/>
      <c r="G8" s="475"/>
      <c r="H8" s="475"/>
      <c r="I8" s="475">
        <v>0</v>
      </c>
      <c r="J8" s="475"/>
      <c r="K8" s="484"/>
      <c r="L8" s="484"/>
      <c r="M8" s="484"/>
      <c r="N8" s="178"/>
      <c r="O8" s="475"/>
      <c r="P8" s="475"/>
      <c r="Q8" s="475"/>
      <c r="R8" s="475"/>
      <c r="S8" s="475"/>
      <c r="T8" s="489"/>
      <c r="U8" s="489"/>
      <c r="V8" s="489"/>
      <c r="W8" s="482"/>
      <c r="X8" s="484"/>
      <c r="Y8" s="480"/>
      <c r="Z8" s="490"/>
      <c r="AA8" s="489"/>
      <c r="AB8" s="489"/>
      <c r="AC8" s="489"/>
      <c r="AD8" s="181"/>
      <c r="AE8" s="181">
        <v>5</v>
      </c>
      <c r="AF8" s="477"/>
      <c r="AG8" s="178"/>
      <c r="AH8" s="300"/>
      <c r="AI8" s="178"/>
      <c r="AJ8" s="393"/>
      <c r="AK8" s="60"/>
      <c r="AL8" s="302"/>
      <c r="AM8" s="178"/>
      <c r="AN8" s="488"/>
      <c r="AO8" s="487"/>
      <c r="AP8" s="178"/>
      <c r="AQ8" s="487"/>
    </row>
    <row r="9" spans="1:43" s="46" customFormat="1">
      <c r="A9" s="475"/>
      <c r="B9" s="475"/>
      <c r="C9" s="475"/>
      <c r="D9" s="486" t="s">
        <v>615</v>
      </c>
      <c r="E9" s="491"/>
      <c r="F9" s="475"/>
      <c r="G9" s="475"/>
      <c r="H9" s="475"/>
      <c r="I9" s="475">
        <v>0.1</v>
      </c>
      <c r="J9" s="475"/>
      <c r="K9" s="484"/>
      <c r="L9" s="484"/>
      <c r="M9" s="484"/>
      <c r="N9" s="178"/>
      <c r="O9" s="475"/>
      <c r="P9" s="475"/>
      <c r="Q9" s="475"/>
      <c r="R9" s="475"/>
      <c r="S9" s="475"/>
      <c r="T9" s="489"/>
      <c r="U9" s="489"/>
      <c r="V9" s="489"/>
      <c r="W9" s="482"/>
      <c r="X9" s="484"/>
      <c r="Y9" s="480"/>
      <c r="Z9" s="490"/>
      <c r="AA9" s="489"/>
      <c r="AB9" s="489"/>
      <c r="AC9" s="489"/>
      <c r="AD9" s="181"/>
      <c r="AE9" s="181">
        <v>5</v>
      </c>
      <c r="AF9" s="477"/>
      <c r="AG9" s="178"/>
      <c r="AH9" s="300"/>
      <c r="AI9" s="178"/>
      <c r="AJ9" s="393"/>
      <c r="AK9" s="60"/>
      <c r="AL9" s="302"/>
      <c r="AM9" s="178"/>
      <c r="AN9" s="488"/>
      <c r="AO9" s="487"/>
      <c r="AP9" s="178"/>
      <c r="AQ9" s="487"/>
    </row>
    <row r="10" spans="1:43" s="46" customFormat="1">
      <c r="A10" s="475"/>
      <c r="B10" s="475"/>
      <c r="C10" s="475"/>
      <c r="D10" s="486"/>
      <c r="E10" s="485" t="s">
        <v>551</v>
      </c>
      <c r="F10" s="479">
        <v>2020</v>
      </c>
      <c r="G10" s="479"/>
      <c r="H10" s="475">
        <v>4.0000000000000001E-3</v>
      </c>
      <c r="I10" s="479"/>
      <c r="J10" s="479"/>
      <c r="K10" s="484">
        <v>1</v>
      </c>
      <c r="L10" s="481"/>
      <c r="M10" s="481"/>
      <c r="N10" s="23"/>
      <c r="O10" s="479"/>
      <c r="P10" s="479"/>
      <c r="Q10" s="479"/>
      <c r="R10" s="479"/>
      <c r="S10" s="479"/>
      <c r="T10" s="483">
        <f>AN10*7.45</f>
        <v>9.3087750000000007</v>
      </c>
      <c r="U10" s="483">
        <f>AO10*7.45/1000000</f>
        <v>9.3124999999999999E-2</v>
      </c>
      <c r="V10" s="483"/>
      <c r="W10" s="482">
        <f>3.6*8760/1000000</f>
        <v>3.1536000000000002E-2</v>
      </c>
      <c r="X10" s="481"/>
      <c r="Y10" s="480">
        <v>0.26</v>
      </c>
      <c r="Z10" s="479">
        <v>35</v>
      </c>
      <c r="AA10" s="478"/>
      <c r="AB10" s="478"/>
      <c r="AC10" s="478"/>
      <c r="AD10" s="28"/>
      <c r="AE10" s="28"/>
      <c r="AF10" s="477">
        <v>0</v>
      </c>
      <c r="AH10" s="300">
        <f>1021.0269069/8760</f>
        <v>0.11655558297945205</v>
      </c>
      <c r="AJ10" s="393" t="s">
        <v>614</v>
      </c>
      <c r="AK10" s="60" t="s">
        <v>613</v>
      </c>
      <c r="AL10" s="302" t="s">
        <v>334</v>
      </c>
      <c r="AN10" s="314">
        <v>1.2495000000000001</v>
      </c>
      <c r="AO10" s="476">
        <v>12500</v>
      </c>
      <c r="AQ10" s="476">
        <v>1021.0269069000002</v>
      </c>
    </row>
    <row r="11" spans="1:43" s="46" customFormat="1">
      <c r="A11" s="475"/>
      <c r="B11" s="475"/>
      <c r="C11" s="475"/>
      <c r="D11" s="486"/>
      <c r="E11" s="485" t="s">
        <v>551</v>
      </c>
      <c r="F11" s="479">
        <v>2030</v>
      </c>
      <c r="G11" s="479"/>
      <c r="H11" s="475">
        <v>4.0000000000000001E-3</v>
      </c>
      <c r="I11" s="479"/>
      <c r="J11" s="479"/>
      <c r="K11" s="484">
        <v>1</v>
      </c>
      <c r="L11" s="481"/>
      <c r="M11" s="481"/>
      <c r="N11" s="23"/>
      <c r="O11" s="479"/>
      <c r="P11" s="479"/>
      <c r="Q11" s="479"/>
      <c r="R11" s="479"/>
      <c r="S11" s="479"/>
      <c r="T11" s="483">
        <f>AN11*7.45</f>
        <v>7.4470200000000002</v>
      </c>
      <c r="U11" s="483">
        <f>AO11*7.45/1000000</f>
        <v>7.4499999999999997E-2</v>
      </c>
      <c r="V11" s="483"/>
      <c r="W11" s="482">
        <f>3.6*8760/1000000</f>
        <v>3.1536000000000002E-2</v>
      </c>
      <c r="X11" s="481"/>
      <c r="Y11" s="480">
        <v>0.26</v>
      </c>
      <c r="Z11" s="479">
        <v>40</v>
      </c>
      <c r="AA11" s="478"/>
      <c r="AB11" s="478"/>
      <c r="AC11" s="478"/>
      <c r="AD11" s="28"/>
      <c r="AE11" s="28"/>
      <c r="AF11" s="477">
        <v>0</v>
      </c>
      <c r="AH11" s="300">
        <f>1054.942136325/8760</f>
        <v>0.12042718451198631</v>
      </c>
      <c r="AI11" s="302"/>
      <c r="AJ11" s="393" t="s">
        <v>614</v>
      </c>
      <c r="AK11" s="60" t="s">
        <v>613</v>
      </c>
      <c r="AL11" s="302" t="s">
        <v>334</v>
      </c>
      <c r="AN11" s="314">
        <v>0.99960000000000004</v>
      </c>
      <c r="AO11" s="476">
        <v>10000</v>
      </c>
      <c r="AQ11" s="476">
        <v>1054.9421363250001</v>
      </c>
    </row>
    <row r="12" spans="1:43" s="46" customFormat="1">
      <c r="A12" s="475"/>
      <c r="B12" s="475"/>
      <c r="C12" s="475"/>
      <c r="D12" s="486"/>
      <c r="E12" s="485" t="s">
        <v>551</v>
      </c>
      <c r="F12" s="479">
        <v>2050</v>
      </c>
      <c r="G12" s="479"/>
      <c r="H12" s="475">
        <v>4.0000000000000001E-3</v>
      </c>
      <c r="I12" s="479"/>
      <c r="J12" s="479"/>
      <c r="K12" s="484">
        <v>1</v>
      </c>
      <c r="L12" s="481"/>
      <c r="M12" s="481"/>
      <c r="N12" s="23"/>
      <c r="O12" s="479"/>
      <c r="P12" s="479"/>
      <c r="Q12" s="479"/>
      <c r="R12" s="479"/>
      <c r="S12" s="479"/>
      <c r="T12" s="483">
        <f>AN12*7.45</f>
        <v>6.3299669999999999</v>
      </c>
      <c r="U12" s="483">
        <f>AO12*7.45/1000000</f>
        <v>6.3325000000000006E-2</v>
      </c>
      <c r="V12" s="483"/>
      <c r="W12" s="482">
        <f>3.6*8760/1000000</f>
        <v>3.1536000000000002E-2</v>
      </c>
      <c r="X12" s="481"/>
      <c r="Y12" s="480">
        <v>0.26</v>
      </c>
      <c r="Z12" s="479">
        <v>40</v>
      </c>
      <c r="AA12" s="478"/>
      <c r="AB12" s="478"/>
      <c r="AC12" s="478"/>
      <c r="AD12" s="28"/>
      <c r="AE12" s="28"/>
      <c r="AF12" s="477">
        <v>0</v>
      </c>
      <c r="AH12" s="300">
        <f>1101.20203809/8760</f>
        <v>0.12570799521575343</v>
      </c>
      <c r="AJ12" s="393" t="s">
        <v>614</v>
      </c>
      <c r="AK12" s="60" t="s">
        <v>613</v>
      </c>
      <c r="AL12" s="302" t="s">
        <v>334</v>
      </c>
      <c r="AN12" s="314">
        <v>0.84965999999999997</v>
      </c>
      <c r="AO12" s="476">
        <v>8500</v>
      </c>
      <c r="AQ12" s="476">
        <v>1101.2020380900001</v>
      </c>
    </row>
    <row r="17" spans="2:9">
      <c r="B17" s="267" t="s">
        <v>631</v>
      </c>
      <c r="C17" s="268"/>
      <c r="D17" s="268"/>
      <c r="E17" s="268"/>
      <c r="F17" s="268"/>
      <c r="G17" s="268"/>
      <c r="H17" s="268"/>
      <c r="I17" s="268"/>
    </row>
    <row r="18" spans="2:9">
      <c r="B18" s="269" t="s">
        <v>50</v>
      </c>
      <c r="C18" s="269" t="s">
        <v>1</v>
      </c>
      <c r="D18" s="269" t="s">
        <v>51</v>
      </c>
      <c r="E18" s="269" t="s">
        <v>52</v>
      </c>
      <c r="F18" s="269" t="s">
        <v>53</v>
      </c>
      <c r="G18" s="269" t="s">
        <v>54</v>
      </c>
      <c r="H18" s="269" t="s">
        <v>55</v>
      </c>
      <c r="I18" s="269" t="s">
        <v>56</v>
      </c>
    </row>
    <row r="19" spans="2:9" ht="57.6">
      <c r="B19" s="270" t="s">
        <v>57</v>
      </c>
      <c r="C19" s="270" t="s">
        <v>58</v>
      </c>
      <c r="D19" s="270" t="s">
        <v>59</v>
      </c>
      <c r="E19" s="270" t="s">
        <v>60</v>
      </c>
      <c r="F19" s="270" t="s">
        <v>61</v>
      </c>
      <c r="G19" s="270" t="s">
        <v>62</v>
      </c>
      <c r="H19" s="270" t="s">
        <v>63</v>
      </c>
      <c r="I19" s="270" t="s">
        <v>64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">
    <tabColor rgb="FF92D050"/>
  </sheetPr>
  <dimension ref="A1:BI360"/>
  <sheetViews>
    <sheetView tabSelected="1" topLeftCell="A11" zoomScale="80" zoomScaleNormal="80" zoomScalePageLayoutView="80" workbookViewId="0">
      <pane xSplit="2" ySplit="4" topLeftCell="C83" activePane="bottomRight" state="frozen"/>
      <selection activeCell="A12" sqref="A12"/>
      <selection pane="topRight" activeCell="C12" sqref="C12"/>
      <selection pane="bottomLeft" activeCell="A15" sqref="A15"/>
      <selection pane="bottomRight" activeCell="C107" sqref="C107"/>
    </sheetView>
  </sheetViews>
  <sheetFormatPr defaultColWidth="9.109375" defaultRowHeight="14.4"/>
  <cols>
    <col min="1" max="1" width="20.6640625" style="23" customWidth="1"/>
    <col min="2" max="2" width="57.6640625" style="23" customWidth="1"/>
    <col min="3" max="3" width="46" style="23" customWidth="1"/>
    <col min="4" max="4" width="11.6640625" style="23" customWidth="1"/>
    <col min="5" max="6" width="10.6640625" style="23" customWidth="1"/>
    <col min="7" max="7" width="14" style="23" customWidth="1"/>
    <col min="8" max="8" width="10.6640625" style="23" customWidth="1"/>
    <col min="9" max="9" width="12.44140625" style="23" customWidth="1"/>
    <col min="10" max="10" width="11.44140625" style="23" customWidth="1"/>
    <col min="11" max="11" width="10.6640625" style="23" customWidth="1"/>
    <col min="12" max="12" width="7.88671875" style="23" customWidth="1"/>
    <col min="13" max="13" width="8.109375" style="23" customWidth="1"/>
    <col min="14" max="14" width="12" style="23" customWidth="1"/>
    <col min="15" max="15" width="29.33203125" style="23" customWidth="1"/>
    <col min="16" max="27" width="10.6640625" style="23" customWidth="1"/>
    <col min="28" max="28" width="11.44140625" style="46" customWidth="1"/>
    <col min="29" max="29" width="11.6640625" style="46" customWidth="1"/>
    <col min="30" max="30" width="13" style="47" customWidth="1"/>
    <col min="31" max="31" width="17" style="46" customWidth="1"/>
    <col min="32" max="34" width="9.109375" style="46" customWidth="1"/>
    <col min="35" max="35" width="10.6640625" style="47" customWidth="1"/>
    <col min="36" max="36" width="12.88671875" style="46" customWidth="1"/>
    <col min="37" max="37" width="11.88671875" style="46" bestFit="1" customWidth="1"/>
    <col min="38" max="38" width="9.109375" style="46" customWidth="1"/>
    <col min="39" max="39" width="6" style="46" customWidth="1"/>
    <col min="40" max="40" width="10.88671875" style="46" customWidth="1"/>
    <col min="41" max="41" width="10.109375" style="46" bestFit="1" customWidth="1"/>
    <col min="42" max="42" width="10.44140625" style="46" customWidth="1"/>
    <col min="43" max="43" width="9.109375" style="46" customWidth="1"/>
    <col min="44" max="44" width="17.6640625" style="46" customWidth="1"/>
    <col min="45" max="45" width="13.33203125" style="46" customWidth="1"/>
    <col min="46" max="46" width="25.6640625" style="46" customWidth="1"/>
    <col min="47" max="47" width="10.109375" style="46" bestFit="1" customWidth="1"/>
    <col min="48" max="48" width="11.44140625" style="46" customWidth="1"/>
    <col min="49" max="49" width="10.109375" style="46" customWidth="1"/>
    <col min="50" max="50" width="21.33203125" style="46" customWidth="1"/>
    <col min="51" max="51" width="20.44140625" style="46" customWidth="1"/>
    <col min="52" max="52" width="23.44140625" style="46" customWidth="1"/>
    <col min="53" max="53" width="20.88671875" style="46" customWidth="1"/>
    <col min="54" max="54" width="22.44140625" style="46" customWidth="1"/>
    <col min="55" max="16384" width="9.109375" style="46"/>
  </cols>
  <sheetData>
    <row r="1" spans="1:55" hidden="1">
      <c r="A1" s="42" t="s">
        <v>107</v>
      </c>
      <c r="B1" s="44"/>
      <c r="D1" s="35" t="s">
        <v>306</v>
      </c>
      <c r="E1" s="45"/>
      <c r="AA1" s="46"/>
      <c r="AC1" s="47"/>
      <c r="AD1" s="46"/>
      <c r="AH1" s="47"/>
      <c r="AI1" s="46"/>
    </row>
    <row r="2" spans="1:55" hidden="1">
      <c r="A2" s="48" t="s">
        <v>100</v>
      </c>
      <c r="B2" s="49" t="s">
        <v>101</v>
      </c>
      <c r="D2" s="50" t="s">
        <v>204</v>
      </c>
      <c r="E2" s="51">
        <v>7.45</v>
      </c>
      <c r="AA2" s="46"/>
      <c r="AC2" s="47"/>
      <c r="AD2" s="46"/>
      <c r="AH2" s="47"/>
      <c r="AI2" s="46"/>
    </row>
    <row r="3" spans="1:55" hidden="1">
      <c r="A3" s="48" t="s">
        <v>102</v>
      </c>
      <c r="B3" s="49" t="s">
        <v>103</v>
      </c>
      <c r="AA3" s="46"/>
      <c r="AC3" s="47"/>
      <c r="AD3" s="46"/>
      <c r="AH3" s="47"/>
      <c r="AI3" s="46"/>
    </row>
    <row r="4" spans="1:55" hidden="1">
      <c r="A4" s="48" t="s">
        <v>105</v>
      </c>
      <c r="B4" s="49" t="s">
        <v>106</v>
      </c>
      <c r="D4" s="35" t="s">
        <v>305</v>
      </c>
      <c r="E4" s="52"/>
      <c r="F4" s="45"/>
      <c r="AA4" s="46"/>
      <c r="AC4" s="47"/>
      <c r="AD4" s="46"/>
      <c r="AH4" s="47"/>
      <c r="AI4" s="46"/>
    </row>
    <row r="5" spans="1:55" hidden="1">
      <c r="A5" s="48" t="s">
        <v>108</v>
      </c>
      <c r="B5" s="49" t="s">
        <v>109</v>
      </c>
      <c r="D5" s="36" t="s">
        <v>214</v>
      </c>
      <c r="E5" s="53"/>
      <c r="F5" s="54"/>
      <c r="AA5" s="46"/>
      <c r="AC5" s="47"/>
      <c r="AD5" s="46"/>
      <c r="AH5" s="47"/>
      <c r="AI5" s="46"/>
    </row>
    <row r="6" spans="1:55" hidden="1">
      <c r="A6" s="48" t="s">
        <v>110</v>
      </c>
      <c r="B6" s="49" t="s">
        <v>111</v>
      </c>
      <c r="D6" s="37" t="s">
        <v>215</v>
      </c>
      <c r="E6" s="55"/>
      <c r="F6" s="51"/>
      <c r="AA6" s="46"/>
      <c r="AC6" s="47"/>
      <c r="AD6" s="46"/>
      <c r="AH6" s="47"/>
      <c r="AI6" s="46"/>
    </row>
    <row r="7" spans="1:55" hidden="1">
      <c r="A7" s="48" t="s">
        <v>113</v>
      </c>
      <c r="B7" s="49" t="s">
        <v>114</v>
      </c>
      <c r="AA7" s="46"/>
      <c r="AC7" s="47"/>
      <c r="AD7" s="46"/>
      <c r="AH7" s="47"/>
      <c r="AI7" s="46"/>
    </row>
    <row r="8" spans="1:55" hidden="1">
      <c r="A8" s="48" t="s">
        <v>115</v>
      </c>
      <c r="B8" s="49" t="s">
        <v>116</v>
      </c>
      <c r="AA8" s="46"/>
      <c r="AC8" s="47"/>
      <c r="AD8" s="46"/>
      <c r="AH8" s="47"/>
      <c r="AI8" s="46"/>
    </row>
    <row r="9" spans="1:55" hidden="1">
      <c r="A9" s="56" t="s">
        <v>118</v>
      </c>
      <c r="B9" s="57" t="s">
        <v>119</v>
      </c>
      <c r="Z9" s="46"/>
      <c r="AA9" s="47"/>
      <c r="AB9" s="47"/>
      <c r="AC9" s="47"/>
      <c r="AD9" s="46"/>
      <c r="AI9" s="46"/>
      <c r="AQ9" s="168" t="s">
        <v>335</v>
      </c>
      <c r="AR9" s="168"/>
      <c r="AS9" s="168"/>
      <c r="AT9" s="168"/>
      <c r="AU9" s="168"/>
      <c r="AV9" s="168"/>
    </row>
    <row r="10" spans="1:55" hidden="1">
      <c r="A10" s="145"/>
      <c r="B10" s="145"/>
      <c r="Y10" s="46"/>
      <c r="AB10" s="23"/>
      <c r="AD10" s="46"/>
      <c r="AH10" s="47"/>
      <c r="AQ10" s="46" t="s">
        <v>336</v>
      </c>
      <c r="AR10" s="168"/>
      <c r="AS10" s="168"/>
      <c r="AT10" s="170">
        <v>0.04</v>
      </c>
      <c r="AU10" s="168"/>
      <c r="AV10" s="168"/>
    </row>
    <row r="11" spans="1:55">
      <c r="F11" s="64" t="s">
        <v>0</v>
      </c>
      <c r="AB11" s="23"/>
      <c r="AD11" s="46"/>
      <c r="AI11" s="46"/>
      <c r="AJ11" s="47"/>
      <c r="AK11" s="47"/>
    </row>
    <row r="12" spans="1:55" ht="87">
      <c r="A12" s="65" t="s">
        <v>1</v>
      </c>
      <c r="B12" s="65" t="s">
        <v>2</v>
      </c>
      <c r="C12" s="65" t="s">
        <v>3</v>
      </c>
      <c r="D12" s="66" t="s">
        <v>4</v>
      </c>
      <c r="E12" s="66" t="s">
        <v>427</v>
      </c>
      <c r="F12" s="65" t="s">
        <v>5</v>
      </c>
      <c r="G12" s="65" t="s">
        <v>6</v>
      </c>
      <c r="H12" s="67" t="s">
        <v>7</v>
      </c>
      <c r="I12" s="65" t="s">
        <v>316</v>
      </c>
      <c r="J12" s="65" t="s">
        <v>325</v>
      </c>
      <c r="K12" s="65" t="s">
        <v>8</v>
      </c>
      <c r="L12" s="67" t="s">
        <v>317</v>
      </c>
      <c r="M12" s="67" t="s">
        <v>314</v>
      </c>
      <c r="N12" s="67" t="s">
        <v>321</v>
      </c>
      <c r="O12" s="67" t="s">
        <v>174</v>
      </c>
      <c r="P12" s="67" t="s">
        <v>183</v>
      </c>
      <c r="Q12" s="65" t="s">
        <v>47</v>
      </c>
      <c r="R12" s="65" t="s">
        <v>9</v>
      </c>
      <c r="S12" s="65" t="s">
        <v>10</v>
      </c>
      <c r="T12" s="65" t="s">
        <v>11</v>
      </c>
      <c r="U12" s="65" t="s">
        <v>12</v>
      </c>
      <c r="V12" s="65" t="s">
        <v>13</v>
      </c>
      <c r="W12" s="65" t="s">
        <v>14</v>
      </c>
      <c r="X12" s="65" t="s">
        <v>15</v>
      </c>
      <c r="Y12" s="65" t="s">
        <v>16</v>
      </c>
      <c r="Z12" s="65" t="s">
        <v>28</v>
      </c>
      <c r="AA12" s="150" t="s">
        <v>624</v>
      </c>
      <c r="AB12" s="150" t="s">
        <v>625</v>
      </c>
      <c r="AC12" s="150" t="s">
        <v>626</v>
      </c>
      <c r="AD12" s="150" t="s">
        <v>627</v>
      </c>
      <c r="AE12" s="298" t="s">
        <v>333</v>
      </c>
      <c r="AF12" s="65" t="s">
        <v>17</v>
      </c>
      <c r="AI12" s="46"/>
      <c r="AJ12" s="47"/>
      <c r="AK12" s="47"/>
      <c r="AL12" s="47"/>
      <c r="AM12" s="302"/>
      <c r="AN12" s="302"/>
      <c r="AO12" s="302"/>
      <c r="AP12" s="302"/>
      <c r="AS12" s="167" t="s">
        <v>382</v>
      </c>
      <c r="AT12" s="167" t="s">
        <v>338</v>
      </c>
      <c r="AU12" s="167" t="s">
        <v>383</v>
      </c>
      <c r="AV12" s="167" t="s">
        <v>340</v>
      </c>
      <c r="AW12" s="167" t="s">
        <v>341</v>
      </c>
      <c r="AX12" s="167" t="s">
        <v>373</v>
      </c>
      <c r="AY12" s="167" t="s">
        <v>376</v>
      </c>
      <c r="AZ12" s="167" t="s">
        <v>374</v>
      </c>
      <c r="BA12" s="167" t="s">
        <v>385</v>
      </c>
      <c r="BB12" s="167" t="s">
        <v>379</v>
      </c>
      <c r="BC12" s="167" t="s">
        <v>384</v>
      </c>
    </row>
    <row r="13" spans="1:55" s="58" customFormat="1" ht="81.599999999999994" customHeight="1">
      <c r="A13" s="68" t="s">
        <v>18</v>
      </c>
      <c r="B13" s="68"/>
      <c r="C13" s="68" t="s">
        <v>197</v>
      </c>
      <c r="D13" s="69" t="s">
        <v>198</v>
      </c>
      <c r="E13" s="69" t="s">
        <v>198</v>
      </c>
      <c r="F13" s="68"/>
      <c r="G13" s="68" t="s">
        <v>194</v>
      </c>
      <c r="H13" s="68" t="s">
        <v>201</v>
      </c>
      <c r="I13" s="68" t="s">
        <v>315</v>
      </c>
      <c r="J13" s="68" t="s">
        <v>324</v>
      </c>
      <c r="K13" s="68" t="s">
        <v>553</v>
      </c>
      <c r="L13" s="68" t="s">
        <v>318</v>
      </c>
      <c r="M13" s="68" t="s">
        <v>327</v>
      </c>
      <c r="N13" s="68" t="s">
        <v>326</v>
      </c>
      <c r="O13" s="68" t="s">
        <v>176</v>
      </c>
      <c r="P13" s="68" t="s">
        <v>219</v>
      </c>
      <c r="Q13" s="68" t="s">
        <v>202</v>
      </c>
      <c r="R13" s="68" t="s">
        <v>202</v>
      </c>
      <c r="S13" s="68" t="s">
        <v>203</v>
      </c>
      <c r="T13" s="68" t="s">
        <v>190</v>
      </c>
      <c r="U13" s="68" t="s">
        <v>191</v>
      </c>
      <c r="V13" s="68" t="s">
        <v>192</v>
      </c>
      <c r="W13" s="68" t="s">
        <v>184</v>
      </c>
      <c r="X13" s="68" t="s">
        <v>186</v>
      </c>
      <c r="Y13" s="68" t="s">
        <v>185</v>
      </c>
      <c r="Z13" s="68" t="s">
        <v>188</v>
      </c>
      <c r="AA13" s="68" t="s">
        <v>193</v>
      </c>
      <c r="AB13" s="68" t="s">
        <v>193</v>
      </c>
      <c r="AC13" s="68" t="s">
        <v>193</v>
      </c>
      <c r="AD13" s="68" t="s">
        <v>193</v>
      </c>
      <c r="AE13" s="153"/>
      <c r="AF13" s="68" t="s">
        <v>187</v>
      </c>
      <c r="AH13" s="58" t="s">
        <v>524</v>
      </c>
      <c r="AJ13" s="59"/>
      <c r="AK13" s="59"/>
      <c r="AL13" s="59"/>
      <c r="AM13" s="59"/>
      <c r="AN13" s="59"/>
      <c r="AO13" s="59"/>
      <c r="AP13" s="59"/>
    </row>
    <row r="14" spans="1:55" ht="17.100000000000001" customHeight="1" thickBot="1">
      <c r="A14" s="70" t="s">
        <v>19</v>
      </c>
      <c r="B14" s="71"/>
      <c r="C14" s="71"/>
      <c r="D14" s="72"/>
      <c r="E14" s="72" t="s">
        <v>428</v>
      </c>
      <c r="F14" s="71"/>
      <c r="G14" s="71"/>
      <c r="H14" s="71" t="s">
        <v>20</v>
      </c>
      <c r="I14" s="71"/>
      <c r="J14" s="71"/>
      <c r="K14" s="71"/>
      <c r="L14" s="71"/>
      <c r="M14" s="71"/>
      <c r="N14" s="71"/>
      <c r="O14" s="71"/>
      <c r="P14" s="73"/>
      <c r="Q14" s="71"/>
      <c r="R14" s="71"/>
      <c r="S14" s="71"/>
      <c r="T14" s="71" t="s">
        <v>21</v>
      </c>
      <c r="U14" s="71" t="s">
        <v>21</v>
      </c>
      <c r="V14" s="71" t="s">
        <v>22</v>
      </c>
      <c r="W14" s="71" t="s">
        <v>23</v>
      </c>
      <c r="X14" s="71" t="s">
        <v>23</v>
      </c>
      <c r="Y14" s="71"/>
      <c r="Z14" s="71" t="s">
        <v>24</v>
      </c>
      <c r="AA14" s="71" t="s">
        <v>25</v>
      </c>
      <c r="AB14" s="71" t="s">
        <v>25</v>
      </c>
      <c r="AC14" s="71" t="s">
        <v>25</v>
      </c>
      <c r="AD14" s="71" t="s">
        <v>25</v>
      </c>
      <c r="AE14" s="297"/>
      <c r="AF14" s="71" t="s">
        <v>395</v>
      </c>
      <c r="AI14" s="46"/>
      <c r="AJ14" s="71" t="s">
        <v>213</v>
      </c>
      <c r="AK14" s="71" t="s">
        <v>212</v>
      </c>
      <c r="AL14" s="71" t="s">
        <v>211</v>
      </c>
      <c r="AM14" s="311" t="s">
        <v>438</v>
      </c>
      <c r="AN14" s="312" t="s">
        <v>423</v>
      </c>
      <c r="AO14" s="312" t="s">
        <v>424</v>
      </c>
      <c r="AP14" s="312" t="s">
        <v>425</v>
      </c>
      <c r="AQ14" s="312" t="s">
        <v>426</v>
      </c>
      <c r="AS14" s="154" t="s">
        <v>337</v>
      </c>
      <c r="AT14" s="256" t="s">
        <v>339</v>
      </c>
      <c r="AU14" s="256" t="s">
        <v>342</v>
      </c>
      <c r="AV14" s="256" t="s">
        <v>342</v>
      </c>
      <c r="AW14" s="256" t="s">
        <v>342</v>
      </c>
      <c r="AX14" s="256" t="s">
        <v>375</v>
      </c>
      <c r="AY14" s="256" t="s">
        <v>378</v>
      </c>
      <c r="AZ14" s="256" t="s">
        <v>371</v>
      </c>
      <c r="BA14" s="256" t="s">
        <v>377</v>
      </c>
      <c r="BB14" s="256" t="s">
        <v>378</v>
      </c>
      <c r="BC14" s="256" t="s">
        <v>372</v>
      </c>
    </row>
    <row r="15" spans="1:55">
      <c r="A15" s="74" t="s">
        <v>461</v>
      </c>
      <c r="B15" s="83" t="s">
        <v>139</v>
      </c>
      <c r="C15" s="74" t="s">
        <v>27</v>
      </c>
      <c r="D15" s="75" t="s">
        <v>26</v>
      </c>
      <c r="E15" s="398" t="s">
        <v>551</v>
      </c>
      <c r="F15" s="74">
        <v>2015</v>
      </c>
      <c r="G15" s="74">
        <v>2015</v>
      </c>
      <c r="H15" s="76">
        <v>400</v>
      </c>
      <c r="I15" s="74"/>
      <c r="J15" s="74"/>
      <c r="K15" s="77">
        <v>0.46</v>
      </c>
      <c r="L15" s="77"/>
      <c r="M15" s="77"/>
      <c r="O15" s="78">
        <f t="shared" ref="O15:O26" si="0">(K15+K15*R15)/(1+R15*S15)</f>
        <v>0.89444444444444438</v>
      </c>
      <c r="P15" s="77">
        <v>0.75</v>
      </c>
      <c r="Q15" s="78" t="s">
        <v>48</v>
      </c>
      <c r="R15" s="78">
        <f t="shared" ref="R15:R26" si="1">1/P15</f>
        <v>1.3333333333333333</v>
      </c>
      <c r="S15" s="77">
        <v>0.15</v>
      </c>
      <c r="T15" s="79">
        <f>2.04*Euro</f>
        <v>15.198</v>
      </c>
      <c r="U15" s="79">
        <f>57200*Euro/1000000</f>
        <v>0.42614000000000002</v>
      </c>
      <c r="V15" s="79">
        <f>2*Euro/3.6</f>
        <v>4.1388888888888893</v>
      </c>
      <c r="W15" s="78">
        <v>3.1536000000000002E-2</v>
      </c>
      <c r="X15" s="77">
        <v>0.95</v>
      </c>
      <c r="Y15" s="78">
        <v>1</v>
      </c>
      <c r="Z15" s="80">
        <v>40</v>
      </c>
      <c r="AA15" s="79">
        <v>38</v>
      </c>
      <c r="AB15" s="79">
        <v>1.5</v>
      </c>
      <c r="AC15" s="79">
        <v>0.8</v>
      </c>
      <c r="AD15" s="79">
        <f>0.27*1000*(1-97%)</f>
        <v>8.1000000000000068</v>
      </c>
      <c r="AE15" s="79"/>
      <c r="AF15" s="305">
        <v>4</v>
      </c>
      <c r="AI15" s="46"/>
      <c r="AJ15" s="393" t="s">
        <v>209</v>
      </c>
      <c r="AK15" s="60">
        <v>41452</v>
      </c>
      <c r="AL15" s="47" t="s">
        <v>210</v>
      </c>
      <c r="AM15" s="302"/>
      <c r="AS15" s="169">
        <f>-PMT($AT$10,Z15,T15)</f>
        <v>0.76785599075256894</v>
      </c>
      <c r="AT15" s="157">
        <v>5000</v>
      </c>
      <c r="AU15" s="171">
        <f>AS15/AT15*(1000000)</f>
        <v>153.57119815051379</v>
      </c>
      <c r="AV15" s="171">
        <f t="shared" ref="AV15:AV46" si="2">U15/AT15*(1000000)</f>
        <v>85.228000000000009</v>
      </c>
      <c r="AW15" s="171">
        <f t="shared" ref="AW15:AW46" si="3">V15*1000*3.6/1000</f>
        <v>14.900000000000004</v>
      </c>
      <c r="AX15" s="171">
        <f t="array" aca="1" ref="AX15" ca="1">FuelPriceRAMSES!U$38*3.6*INDEX(FuelPriceRAMSES!$R$33:$R$63,MATCH(RIGHT(INDIRECT("E"&amp;ROW()),2),RIGHT(FuelPriceRAMSES!$Q$33:$Q$63,2),0))</f>
        <v>56.157190736842253</v>
      </c>
      <c r="AY15" s="171">
        <f t="shared" ref="AY15:AY46" si="4">1/K15</f>
        <v>2.1739130434782608</v>
      </c>
      <c r="AZ15" s="318">
        <v>1.2</v>
      </c>
      <c r="BA15" s="171">
        <f>IF(O15=0,0,(AY15-(O15-K15)*AY15)/AZ15)</f>
        <v>1.0245571658615138</v>
      </c>
      <c r="BB15" s="171">
        <f ca="1">AX15*(AY15-BA15)</f>
        <v>64.544597243834374</v>
      </c>
      <c r="BC15" s="258">
        <f ca="1">AU15+AV15+AW15+BB15</f>
        <v>318.24379539434818</v>
      </c>
    </row>
    <row r="16" spans="1:55">
      <c r="A16" s="74"/>
      <c r="B16" s="74"/>
      <c r="C16" s="74"/>
      <c r="D16" s="75" t="s">
        <v>99</v>
      </c>
      <c r="E16" s="398" t="s">
        <v>551</v>
      </c>
      <c r="F16" s="74">
        <v>2020</v>
      </c>
      <c r="G16" s="74"/>
      <c r="H16" s="74"/>
      <c r="I16" s="74"/>
      <c r="J16" s="74"/>
      <c r="K16" s="77">
        <v>0.48499999999999999</v>
      </c>
      <c r="L16" s="77"/>
      <c r="M16" s="77"/>
      <c r="O16" s="78">
        <f t="shared" si="0"/>
        <v>0.90141414141414145</v>
      </c>
      <c r="P16" s="77">
        <v>0.84</v>
      </c>
      <c r="Q16" s="78" t="s">
        <v>48</v>
      </c>
      <c r="R16" s="78">
        <f t="shared" si="1"/>
        <v>1.1904761904761905</v>
      </c>
      <c r="S16" s="77">
        <v>0.15</v>
      </c>
      <c r="T16" s="79">
        <f>2.03*Euro</f>
        <v>15.123499999999998</v>
      </c>
      <c r="U16" s="79">
        <f>61600*Euro/1000000</f>
        <v>0.45891999999999999</v>
      </c>
      <c r="V16" s="79">
        <f>2.2*Euro/3.6</f>
        <v>4.552777777777778</v>
      </c>
      <c r="W16" s="78"/>
      <c r="X16" s="78"/>
      <c r="Y16" s="78"/>
      <c r="Z16" s="81"/>
      <c r="AA16" s="79">
        <v>35</v>
      </c>
      <c r="AB16" s="79">
        <v>1.5</v>
      </c>
      <c r="AC16" s="79">
        <v>0.8</v>
      </c>
      <c r="AD16" s="79">
        <f t="shared" ref="AD16:AD18" si="5">0.27*1000*(1-97%)</f>
        <v>8.1000000000000068</v>
      </c>
      <c r="AE16" s="79"/>
      <c r="AF16" s="305"/>
      <c r="AI16" s="46"/>
      <c r="AJ16" s="393" t="s">
        <v>209</v>
      </c>
      <c r="AK16" s="60">
        <v>41452</v>
      </c>
      <c r="AL16" s="47" t="s">
        <v>210</v>
      </c>
      <c r="AM16" s="302"/>
      <c r="AS16" s="169">
        <f>-PMT($AT$10,Z15,T16)</f>
        <v>0.76409199079789947</v>
      </c>
      <c r="AT16" s="46">
        <f>AT15</f>
        <v>5000</v>
      </c>
      <c r="AU16" s="171">
        <f t="shared" ref="AU16:AU91" si="6">AS16/AT16*(1000000)</f>
        <v>152.81839815957989</v>
      </c>
      <c r="AV16" s="171">
        <f t="shared" si="2"/>
        <v>91.784000000000006</v>
      </c>
      <c r="AW16" s="171">
        <f t="shared" si="3"/>
        <v>16.390000000000004</v>
      </c>
      <c r="AX16" s="171">
        <f t="array" aca="1" ref="AX16" ca="1">FuelPriceRAMSES!U$43*3.6*INDEX(FuelPriceRAMSES!$R$33:$R$63,MATCH(RIGHT(INDIRECT("E"&amp;ROW()),2),RIGHT(FuelPriceRAMSES!$Q$33:$Q$63,2),0))</f>
        <v>56.568960000000004</v>
      </c>
      <c r="AY16" s="171">
        <f t="shared" si="4"/>
        <v>2.061855670103093</v>
      </c>
      <c r="AZ16" s="318">
        <v>1.2</v>
      </c>
      <c r="BA16" s="171">
        <f t="shared" ref="BA16:BA92" si="7">IF(O16=0,0,(AY16-(O16-K16)*AY16)/AZ16)</f>
        <v>1.0027248429310285</v>
      </c>
      <c r="BB16" s="171">
        <f t="shared" ref="BB16:BB22" ca="1" si="8">AX16*(AY16-BA16)</f>
        <v>59.913929397063434</v>
      </c>
      <c r="BC16" s="258">
        <f t="shared" ref="BC16:BC92" ca="1" si="9">AU16+AV16+AW16+BB16</f>
        <v>320.9063275566433</v>
      </c>
    </row>
    <row r="17" spans="1:55">
      <c r="A17" s="74"/>
      <c r="B17" s="74"/>
      <c r="C17" s="74"/>
      <c r="D17" s="75"/>
      <c r="E17" s="398" t="s">
        <v>551</v>
      </c>
      <c r="F17" s="74">
        <v>2030</v>
      </c>
      <c r="G17" s="74"/>
      <c r="H17" s="74"/>
      <c r="I17" s="74"/>
      <c r="J17" s="74"/>
      <c r="K17" s="77">
        <v>0.52</v>
      </c>
      <c r="L17" s="77"/>
      <c r="M17" s="77"/>
      <c r="O17" s="78">
        <f t="shared" si="0"/>
        <v>0.90103448275862075</v>
      </c>
      <c r="P17" s="77">
        <v>1.01</v>
      </c>
      <c r="Q17" s="78" t="s">
        <v>48</v>
      </c>
      <c r="R17" s="78">
        <f t="shared" si="1"/>
        <v>0.99009900990099009</v>
      </c>
      <c r="S17" s="77">
        <v>0.15</v>
      </c>
      <c r="T17" s="79">
        <f>1.99*Euro</f>
        <v>14.8255</v>
      </c>
      <c r="U17" s="79">
        <f>61600*Euro/1000000</f>
        <v>0.45891999999999999</v>
      </c>
      <c r="V17" s="79">
        <f>2.2*Euro/3.6</f>
        <v>4.552777777777778</v>
      </c>
      <c r="W17" s="78"/>
      <c r="X17" s="78"/>
      <c r="Y17" s="78"/>
      <c r="Z17" s="81"/>
      <c r="AA17" s="79">
        <v>35</v>
      </c>
      <c r="AB17" s="79">
        <v>1.5</v>
      </c>
      <c r="AC17" s="79">
        <v>0.8</v>
      </c>
      <c r="AD17" s="79">
        <f t="shared" si="5"/>
        <v>8.1000000000000068</v>
      </c>
      <c r="AE17" s="79"/>
      <c r="AF17" s="305"/>
      <c r="AI17" s="46"/>
      <c r="AJ17" s="393" t="s">
        <v>209</v>
      </c>
      <c r="AK17" s="60">
        <v>41452</v>
      </c>
      <c r="AL17" s="47" t="s">
        <v>210</v>
      </c>
      <c r="AM17" s="302"/>
      <c r="AS17" s="169">
        <f>-PMT($AT$10,Z15,T17)</f>
        <v>0.74903599097922169</v>
      </c>
      <c r="AT17" s="46">
        <f t="shared" ref="AT17:AT86" si="10">AT16</f>
        <v>5000</v>
      </c>
      <c r="AU17" s="171">
        <f t="shared" si="6"/>
        <v>149.80719819584436</v>
      </c>
      <c r="AV17" s="171">
        <f t="shared" si="2"/>
        <v>91.784000000000006</v>
      </c>
      <c r="AW17" s="171">
        <f t="shared" si="3"/>
        <v>16.390000000000004</v>
      </c>
      <c r="AX17" s="171">
        <f t="array" aca="1" ref="AX17" ca="1">FuelPriceRAMSES!U$53*3.6*INDEX(FuelPriceRAMSES!$R$33:$R$63,MATCH(RIGHT(INDIRECT("E"&amp;ROW()),2),RIGHT(FuelPriceRAMSES!$Q$33:$Q$63,2),0))</f>
        <v>66.758400000000009</v>
      </c>
      <c r="AY17" s="171">
        <f t="shared" si="4"/>
        <v>1.9230769230769229</v>
      </c>
      <c r="AZ17" s="318">
        <v>1.2</v>
      </c>
      <c r="BA17" s="171">
        <f t="shared" si="7"/>
        <v>0.99193191865605645</v>
      </c>
      <c r="BB17" s="171">
        <f t="shared" ca="1" si="8"/>
        <v>62.161750663129979</v>
      </c>
      <c r="BC17" s="258">
        <f t="shared" ca="1" si="9"/>
        <v>320.14294885897431</v>
      </c>
    </row>
    <row r="18" spans="1:55">
      <c r="A18" s="74"/>
      <c r="B18" s="74"/>
      <c r="C18" s="74"/>
      <c r="D18" s="75"/>
      <c r="E18" s="398" t="s">
        <v>551</v>
      </c>
      <c r="F18" s="74">
        <v>2050</v>
      </c>
      <c r="G18" s="74"/>
      <c r="H18" s="74"/>
      <c r="I18" s="74"/>
      <c r="J18" s="74"/>
      <c r="K18" s="77">
        <v>0.53500000000000003</v>
      </c>
      <c r="L18" s="77"/>
      <c r="M18" s="77"/>
      <c r="O18" s="78">
        <f t="shared" si="0"/>
        <v>0.92702586206896576</v>
      </c>
      <c r="P18" s="77">
        <v>1.01</v>
      </c>
      <c r="Q18" s="78" t="s">
        <v>48</v>
      </c>
      <c r="R18" s="78">
        <f t="shared" si="1"/>
        <v>0.99009900990099009</v>
      </c>
      <c r="S18" s="77">
        <v>0.15</v>
      </c>
      <c r="T18" s="79">
        <f>1.89*Euro</f>
        <v>14.080499999999999</v>
      </c>
      <c r="U18" s="79">
        <f>61600*Euro/1000000</f>
        <v>0.45891999999999999</v>
      </c>
      <c r="V18" s="79">
        <f>2.2*Euro/3.6</f>
        <v>4.552777777777778</v>
      </c>
      <c r="W18" s="78"/>
      <c r="X18" s="78"/>
      <c r="Y18" s="78"/>
      <c r="Z18" s="81"/>
      <c r="AA18" s="79">
        <v>35</v>
      </c>
      <c r="AB18" s="79">
        <v>1.5</v>
      </c>
      <c r="AC18" s="79">
        <v>0.8</v>
      </c>
      <c r="AD18" s="79">
        <f t="shared" si="5"/>
        <v>8.1000000000000068</v>
      </c>
      <c r="AE18" s="79"/>
      <c r="AF18" s="305"/>
      <c r="AI18" s="46"/>
      <c r="AJ18" s="393" t="s">
        <v>209</v>
      </c>
      <c r="AK18" s="60">
        <v>41452</v>
      </c>
      <c r="AL18" s="47" t="s">
        <v>210</v>
      </c>
      <c r="AM18" s="302"/>
      <c r="AS18" s="169">
        <f>-PMT($AT$10,Z15,T18)</f>
        <v>0.71139599143252708</v>
      </c>
      <c r="AT18" s="46">
        <f t="shared" si="10"/>
        <v>5000</v>
      </c>
      <c r="AU18" s="171">
        <f t="shared" si="6"/>
        <v>142.27919828650542</v>
      </c>
      <c r="AV18" s="171">
        <f t="shared" si="2"/>
        <v>91.784000000000006</v>
      </c>
      <c r="AW18" s="171">
        <f t="shared" si="3"/>
        <v>16.390000000000004</v>
      </c>
      <c r="AX18" s="171">
        <f t="array" aca="1" ref="AX18" ca="1">FuelPriceRAMSES!U$58*3.6*INDEX(FuelPriceRAMSES!$R$33:$R$63,MATCH(RIGHT(INDIRECT("E"&amp;ROW()),2),RIGHT(FuelPriceRAMSES!$Q$33:$Q$63,2),0))</f>
        <v>69.217920000000007</v>
      </c>
      <c r="AY18" s="171">
        <f t="shared" si="4"/>
        <v>1.8691588785046729</v>
      </c>
      <c r="AZ18" s="318">
        <v>1.2</v>
      </c>
      <c r="BA18" s="171">
        <f t="shared" si="7"/>
        <v>0.94700021484584784</v>
      </c>
      <c r="BB18" s="171">
        <f ca="1">AX18*(AY18-BA18)</f>
        <v>63.829904608443464</v>
      </c>
      <c r="BC18" s="258">
        <f t="shared" ca="1" si="9"/>
        <v>314.28310289494891</v>
      </c>
    </row>
    <row r="19" spans="1:55">
      <c r="A19" s="74" t="s">
        <v>462</v>
      </c>
      <c r="B19" s="83" t="s">
        <v>140</v>
      </c>
      <c r="C19" s="74" t="s">
        <v>380</v>
      </c>
      <c r="D19" s="75" t="s">
        <v>26</v>
      </c>
      <c r="E19" s="398" t="s">
        <v>551</v>
      </c>
      <c r="F19" s="74">
        <v>2015</v>
      </c>
      <c r="G19" s="74">
        <v>2015</v>
      </c>
      <c r="H19" s="76">
        <v>250</v>
      </c>
      <c r="I19" s="74"/>
      <c r="J19" s="74"/>
      <c r="K19" s="77">
        <v>0.46</v>
      </c>
      <c r="L19" s="77"/>
      <c r="M19" s="77"/>
      <c r="O19" s="78">
        <f t="shared" si="0"/>
        <v>0.89444444444444438</v>
      </c>
      <c r="P19" s="77">
        <v>0.75</v>
      </c>
      <c r="Q19" s="78" t="s">
        <v>48</v>
      </c>
      <c r="R19" s="78">
        <f t="shared" si="1"/>
        <v>1.3333333333333333</v>
      </c>
      <c r="S19" s="77">
        <v>0.15</v>
      </c>
      <c r="T19" s="79">
        <f>2.04*Euro</f>
        <v>15.198</v>
      </c>
      <c r="U19" s="79">
        <f>57200*Euro/1000000</f>
        <v>0.42614000000000002</v>
      </c>
      <c r="V19" s="79">
        <f>2*Euro/3.6</f>
        <v>4.1388888888888893</v>
      </c>
      <c r="W19" s="78">
        <v>3.1536000000000002E-2</v>
      </c>
      <c r="X19" s="77">
        <v>0.95</v>
      </c>
      <c r="Y19" s="78">
        <v>1</v>
      </c>
      <c r="Z19" s="80">
        <v>40</v>
      </c>
      <c r="AA19" s="79">
        <v>38</v>
      </c>
      <c r="AB19" s="79">
        <v>2</v>
      </c>
      <c r="AC19" s="79">
        <v>0.8</v>
      </c>
      <c r="AD19" s="79"/>
      <c r="AE19" s="79"/>
      <c r="AF19" s="305">
        <v>4</v>
      </c>
      <c r="AI19" s="46"/>
      <c r="AJ19" s="393" t="s">
        <v>209</v>
      </c>
      <c r="AK19" s="60">
        <v>41452</v>
      </c>
      <c r="AL19" s="47" t="s">
        <v>210</v>
      </c>
      <c r="AM19" s="302"/>
      <c r="AS19" s="169">
        <f>-PMT($AT$10,Z19,T19)</f>
        <v>0.76785599075256894</v>
      </c>
      <c r="AT19" s="46">
        <f t="shared" si="10"/>
        <v>5000</v>
      </c>
      <c r="AU19" s="171">
        <f t="shared" si="6"/>
        <v>153.57119815051379</v>
      </c>
      <c r="AV19" s="171">
        <f t="shared" si="2"/>
        <v>85.228000000000009</v>
      </c>
      <c r="AW19" s="171">
        <f t="shared" si="3"/>
        <v>14.900000000000004</v>
      </c>
      <c r="AX19" s="171">
        <f t="array" aca="1" ref="AX19" ca="1">3.6*FuelPriceRAMSES!$AA$38*INDEX(FuelPriceRAMSES!$R$33:$R$63,MATCH(RIGHT(INDIRECT("E"&amp;ROW()),2),RIGHT(FuelPriceRAMSES!$Q$33:$Q$63,2),0))</f>
        <v>195.55279831578946</v>
      </c>
      <c r="AY19" s="171">
        <f t="shared" si="4"/>
        <v>2.1739130434782608</v>
      </c>
      <c r="AZ19" s="318">
        <v>1.2</v>
      </c>
      <c r="BA19" s="171">
        <f t="shared" si="7"/>
        <v>1.0245571658615138</v>
      </c>
      <c r="BB19" s="171">
        <f t="shared" ca="1" si="8"/>
        <v>224.75975812865491</v>
      </c>
      <c r="BC19" s="258">
        <f t="shared" ca="1" si="9"/>
        <v>478.45895627916872</v>
      </c>
    </row>
    <row r="20" spans="1:55">
      <c r="A20" s="74"/>
      <c r="B20" s="74"/>
      <c r="C20" s="74"/>
      <c r="D20" s="75" t="s">
        <v>99</v>
      </c>
      <c r="E20" s="398" t="s">
        <v>551</v>
      </c>
      <c r="F20" s="74">
        <v>2020</v>
      </c>
      <c r="G20" s="74"/>
      <c r="H20" s="74"/>
      <c r="I20" s="74"/>
      <c r="J20" s="74"/>
      <c r="K20" s="77">
        <v>0.48499999999999999</v>
      </c>
      <c r="L20" s="77"/>
      <c r="M20" s="77"/>
      <c r="O20" s="78">
        <f t="shared" si="0"/>
        <v>0.90141414141414145</v>
      </c>
      <c r="P20" s="77">
        <v>0.84</v>
      </c>
      <c r="Q20" s="78" t="s">
        <v>48</v>
      </c>
      <c r="R20" s="78">
        <f t="shared" si="1"/>
        <v>1.1904761904761905</v>
      </c>
      <c r="S20" s="77">
        <v>0.15</v>
      </c>
      <c r="T20" s="79">
        <f>2.03*Euro</f>
        <v>15.123499999999998</v>
      </c>
      <c r="U20" s="79">
        <f>61600*Euro/1000000</f>
        <v>0.45891999999999999</v>
      </c>
      <c r="V20" s="79">
        <f>2.2*Euro/3.6</f>
        <v>4.552777777777778</v>
      </c>
      <c r="W20" s="78"/>
      <c r="X20" s="78"/>
      <c r="Y20" s="78"/>
      <c r="Z20" s="81"/>
      <c r="AA20" s="79">
        <v>35</v>
      </c>
      <c r="AB20" s="79">
        <v>2</v>
      </c>
      <c r="AC20" s="79">
        <v>0.8</v>
      </c>
      <c r="AD20" s="79"/>
      <c r="AE20" s="79"/>
      <c r="AF20" s="305"/>
      <c r="AI20" s="46"/>
      <c r="AJ20" s="393" t="s">
        <v>209</v>
      </c>
      <c r="AK20" s="60">
        <v>41452</v>
      </c>
      <c r="AL20" s="47" t="s">
        <v>210</v>
      </c>
      <c r="AM20" s="302"/>
      <c r="AS20" s="169">
        <f>-PMT($AT$10,Z19,T20)</f>
        <v>0.76409199079789947</v>
      </c>
      <c r="AT20" s="46">
        <f t="shared" si="10"/>
        <v>5000</v>
      </c>
      <c r="AU20" s="171">
        <f t="shared" si="6"/>
        <v>152.81839815957989</v>
      </c>
      <c r="AV20" s="171">
        <f t="shared" si="2"/>
        <v>91.784000000000006</v>
      </c>
      <c r="AW20" s="171">
        <f t="shared" si="3"/>
        <v>16.390000000000004</v>
      </c>
      <c r="AX20" s="171">
        <f t="array" aca="1" ref="AX20" ca="1">3.6*FuelPriceRAMSES!$AA$43*INDEX(FuelPriceRAMSES!$R$33:$R$63,MATCH(RIGHT(INDIRECT("E"&amp;ROW()),2),RIGHT(FuelPriceRAMSES!$Q$33:$Q$63,2),0))</f>
        <v>215.03232000000003</v>
      </c>
      <c r="AY20" s="171">
        <f t="shared" si="4"/>
        <v>2.061855670103093</v>
      </c>
      <c r="AZ20" s="318">
        <v>1.2</v>
      </c>
      <c r="BA20" s="171">
        <f t="shared" si="7"/>
        <v>1.0027248429310285</v>
      </c>
      <c r="BB20" s="171">
        <f t="shared" ca="1" si="8"/>
        <v>227.74735895032811</v>
      </c>
      <c r="BC20" s="258">
        <f t="shared" ca="1" si="9"/>
        <v>488.73975710990794</v>
      </c>
    </row>
    <row r="21" spans="1:55">
      <c r="A21" s="74"/>
      <c r="B21" s="74"/>
      <c r="C21" s="74"/>
      <c r="D21" s="75"/>
      <c r="E21" s="398" t="s">
        <v>551</v>
      </c>
      <c r="F21" s="74">
        <v>2030</v>
      </c>
      <c r="G21" s="74"/>
      <c r="H21" s="74"/>
      <c r="I21" s="74"/>
      <c r="J21" s="74"/>
      <c r="K21" s="77">
        <v>0.52</v>
      </c>
      <c r="L21" s="77"/>
      <c r="M21" s="77"/>
      <c r="O21" s="78">
        <f t="shared" si="0"/>
        <v>0.90103448275862075</v>
      </c>
      <c r="P21" s="77">
        <v>1.01</v>
      </c>
      <c r="Q21" s="78" t="s">
        <v>48</v>
      </c>
      <c r="R21" s="78">
        <f t="shared" si="1"/>
        <v>0.99009900990099009</v>
      </c>
      <c r="S21" s="77">
        <v>0.15</v>
      </c>
      <c r="T21" s="79">
        <f>1.99*Euro</f>
        <v>14.8255</v>
      </c>
      <c r="U21" s="79">
        <f>61600*Euro/1000000</f>
        <v>0.45891999999999999</v>
      </c>
      <c r="V21" s="79">
        <f>2.2*Euro/3.6</f>
        <v>4.552777777777778</v>
      </c>
      <c r="W21" s="78"/>
      <c r="X21" s="78"/>
      <c r="Y21" s="78"/>
      <c r="Z21" s="81"/>
      <c r="AA21" s="79">
        <v>35</v>
      </c>
      <c r="AB21" s="79">
        <v>2</v>
      </c>
      <c r="AC21" s="79">
        <v>0.8</v>
      </c>
      <c r="AD21" s="79"/>
      <c r="AE21" s="79"/>
      <c r="AF21" s="305"/>
      <c r="AI21" s="46"/>
      <c r="AJ21" s="393" t="s">
        <v>209</v>
      </c>
      <c r="AK21" s="60">
        <v>41452</v>
      </c>
      <c r="AL21" s="47" t="s">
        <v>210</v>
      </c>
      <c r="AM21" s="302"/>
      <c r="AS21" s="169">
        <f>-PMT($AT$10,Z19,T21)</f>
        <v>0.74903599097922169</v>
      </c>
      <c r="AT21" s="46">
        <f t="shared" si="10"/>
        <v>5000</v>
      </c>
      <c r="AU21" s="171">
        <f t="shared" si="6"/>
        <v>149.80719819584436</v>
      </c>
      <c r="AV21" s="171">
        <f t="shared" si="2"/>
        <v>91.784000000000006</v>
      </c>
      <c r="AW21" s="171">
        <f t="shared" si="3"/>
        <v>16.390000000000004</v>
      </c>
      <c r="AX21" s="171">
        <f t="array" aca="1" ref="AX21" ca="1">3.6*FuelPriceRAMSES!$AA$53*INDEX(FuelPriceRAMSES!$R$33:$R$63,MATCH(RIGHT(INDIRECT("E"&amp;ROW()),2),RIGHT(FuelPriceRAMSES!$Q$33:$Q$63,2),0))</f>
        <v>247.7088</v>
      </c>
      <c r="AY21" s="171">
        <f t="shared" si="4"/>
        <v>1.9230769230769229</v>
      </c>
      <c r="AZ21" s="318">
        <v>1.2</v>
      </c>
      <c r="BA21" s="171">
        <f t="shared" si="7"/>
        <v>0.99193191865605645</v>
      </c>
      <c r="BB21" s="171">
        <f t="shared" ca="1" si="8"/>
        <v>230.65281167108753</v>
      </c>
      <c r="BC21" s="258">
        <f t="shared" ca="1" si="9"/>
        <v>488.63400986693188</v>
      </c>
    </row>
    <row r="22" spans="1:55">
      <c r="A22" s="74"/>
      <c r="B22" s="74"/>
      <c r="C22" s="74"/>
      <c r="D22" s="75"/>
      <c r="E22" s="398" t="s">
        <v>551</v>
      </c>
      <c r="F22" s="74">
        <v>2050</v>
      </c>
      <c r="G22" s="74"/>
      <c r="H22" s="74"/>
      <c r="I22" s="74"/>
      <c r="J22" s="74"/>
      <c r="K22" s="77">
        <v>0.53500000000000003</v>
      </c>
      <c r="L22" s="77"/>
      <c r="M22" s="77"/>
      <c r="O22" s="78">
        <f t="shared" si="0"/>
        <v>0.92702586206896576</v>
      </c>
      <c r="P22" s="77">
        <v>1.01</v>
      </c>
      <c r="Q22" s="78" t="s">
        <v>48</v>
      </c>
      <c r="R22" s="78">
        <f t="shared" si="1"/>
        <v>0.99009900990099009</v>
      </c>
      <c r="S22" s="77">
        <v>0.15</v>
      </c>
      <c r="T22" s="79">
        <f>1.89*Euro</f>
        <v>14.080499999999999</v>
      </c>
      <c r="U22" s="79">
        <f>61600*Euro/1000000</f>
        <v>0.45891999999999999</v>
      </c>
      <c r="V22" s="79">
        <f>2.2*Euro/3.6</f>
        <v>4.552777777777778</v>
      </c>
      <c r="W22" s="78"/>
      <c r="X22" s="78"/>
      <c r="Y22" s="78"/>
      <c r="Z22" s="81"/>
      <c r="AA22" s="79">
        <v>35</v>
      </c>
      <c r="AB22" s="79">
        <v>2</v>
      </c>
      <c r="AC22" s="79">
        <v>0.8</v>
      </c>
      <c r="AD22" s="79"/>
      <c r="AE22" s="79"/>
      <c r="AF22" s="305"/>
      <c r="AI22" s="46"/>
      <c r="AJ22" s="393" t="s">
        <v>209</v>
      </c>
      <c r="AK22" s="60">
        <v>41452</v>
      </c>
      <c r="AL22" s="47" t="s">
        <v>210</v>
      </c>
      <c r="AM22" s="302"/>
      <c r="AS22" s="169">
        <f>-PMT($AT$10,Z19,T22)</f>
        <v>0.71139599143252708</v>
      </c>
      <c r="AT22" s="46">
        <f t="shared" si="10"/>
        <v>5000</v>
      </c>
      <c r="AU22" s="171">
        <f t="shared" si="6"/>
        <v>142.27919828650542</v>
      </c>
      <c r="AV22" s="171">
        <f t="shared" si="2"/>
        <v>91.784000000000006</v>
      </c>
      <c r="AW22" s="171">
        <f t="shared" si="3"/>
        <v>16.390000000000004</v>
      </c>
      <c r="AX22" s="171">
        <f t="array" aca="1" ref="AX22" ca="1">3.6*FuelPriceRAMSES!$AA$58*INDEX(FuelPriceRAMSES!$R$33:$R$63,MATCH(RIGHT(INDIRECT("E"&amp;ROW()),2),RIGHT(FuelPriceRAMSES!$Q$33:$Q$63,2),0))</f>
        <v>251.57375999999999</v>
      </c>
      <c r="AY22" s="171">
        <f t="shared" si="4"/>
        <v>1.8691588785046729</v>
      </c>
      <c r="AZ22" s="318">
        <v>1.2</v>
      </c>
      <c r="BA22" s="171">
        <f t="shared" si="7"/>
        <v>0.94700021484584784</v>
      </c>
      <c r="BB22" s="171">
        <f t="shared" ca="1" si="8"/>
        <v>231.99092233322597</v>
      </c>
      <c r="BC22" s="258">
        <f t="shared" ca="1" si="9"/>
        <v>482.44412061973139</v>
      </c>
    </row>
    <row r="23" spans="1:55">
      <c r="A23" s="74" t="s">
        <v>463</v>
      </c>
      <c r="B23" s="83" t="s">
        <v>141</v>
      </c>
      <c r="C23" s="74" t="s">
        <v>430</v>
      </c>
      <c r="D23" s="75" t="s">
        <v>26</v>
      </c>
      <c r="E23" s="398" t="s">
        <v>551</v>
      </c>
      <c r="F23" s="74">
        <v>2015</v>
      </c>
      <c r="G23" s="74">
        <v>2015</v>
      </c>
      <c r="H23" s="76">
        <v>400</v>
      </c>
      <c r="I23" s="74"/>
      <c r="J23" s="74"/>
      <c r="K23" s="77">
        <v>0.46500000000000002</v>
      </c>
      <c r="L23" s="77"/>
      <c r="M23" s="77"/>
      <c r="O23" s="78">
        <f t="shared" si="0"/>
        <v>0.90862068965517251</v>
      </c>
      <c r="P23" s="77">
        <v>0.7</v>
      </c>
      <c r="Q23" s="78" t="s">
        <v>48</v>
      </c>
      <c r="R23" s="78">
        <f t="shared" si="1"/>
        <v>1.4285714285714286</v>
      </c>
      <c r="S23" s="77">
        <v>0.17</v>
      </c>
      <c r="T23" s="79">
        <f>1.4*Euro</f>
        <v>10.43</v>
      </c>
      <c r="U23" s="79">
        <f>38000*Euro/1000000</f>
        <v>0.28310000000000002</v>
      </c>
      <c r="V23" s="79">
        <f>0.82*Euro/3.6</f>
        <v>1.6969444444444444</v>
      </c>
      <c r="W23" s="78">
        <v>3.1536000000000002E-2</v>
      </c>
      <c r="X23" s="77">
        <v>0.92</v>
      </c>
      <c r="Y23" s="78">
        <v>1</v>
      </c>
      <c r="Z23" s="80">
        <v>30</v>
      </c>
      <c r="AA23" s="79">
        <v>60</v>
      </c>
      <c r="AB23" s="79">
        <v>6</v>
      </c>
      <c r="AC23" s="79">
        <v>1</v>
      </c>
      <c r="AD23" s="79"/>
      <c r="AE23" s="79"/>
      <c r="AF23" s="305">
        <v>4</v>
      </c>
      <c r="AI23" s="46"/>
      <c r="AJ23" s="393" t="s">
        <v>209</v>
      </c>
      <c r="AK23" s="60">
        <v>41452</v>
      </c>
      <c r="AL23" s="47" t="s">
        <v>210</v>
      </c>
      <c r="AM23" s="302"/>
      <c r="AS23" s="169">
        <f>-PMT($AT$10,Z23,T23)</f>
        <v>0.60316793396408774</v>
      </c>
      <c r="AT23" s="46">
        <f t="shared" si="10"/>
        <v>5000</v>
      </c>
      <c r="AU23" s="171">
        <f t="shared" si="6"/>
        <v>120.63358679281755</v>
      </c>
      <c r="AV23" s="171">
        <f t="shared" si="2"/>
        <v>56.620000000000005</v>
      </c>
      <c r="AW23" s="171">
        <f t="shared" si="3"/>
        <v>6.109</v>
      </c>
      <c r="AX23" s="171">
        <f t="array" aca="1" ref="AX23" ca="1">3.6*FuelPriceRAMSES!$X$38*INDEX(FuelPriceRAMSES!$R$33:$R$63,MATCH(RIGHT(INDIRECT("E"&amp;ROW()),2),RIGHT(FuelPriceRAMSES!$Q$33:$Q$63,2),0))</f>
        <v>100.43101642105255</v>
      </c>
      <c r="AY23" s="171">
        <f>1/K23</f>
        <v>2.150537634408602</v>
      </c>
      <c r="AZ23" s="318">
        <v>1.2</v>
      </c>
      <c r="BA23" s="171">
        <f t="shared" si="7"/>
        <v>0.99709553825237907</v>
      </c>
      <c r="BB23" s="171">
        <f t="shared" ref="BB23:BB94" ca="1" si="11">AX23*(AY23-BA23)</f>
        <v>115.84136209979891</v>
      </c>
      <c r="BC23" s="258">
        <f t="shared" ca="1" si="9"/>
        <v>299.20394889261649</v>
      </c>
    </row>
    <row r="24" spans="1:55">
      <c r="A24" s="74"/>
      <c r="B24" s="74"/>
      <c r="C24" s="74"/>
      <c r="D24" s="75" t="s">
        <v>99</v>
      </c>
      <c r="E24" s="398" t="s">
        <v>551</v>
      </c>
      <c r="F24" s="74">
        <v>2020</v>
      </c>
      <c r="G24" s="74"/>
      <c r="H24" s="74"/>
      <c r="I24" s="74"/>
      <c r="J24" s="74"/>
      <c r="K24" s="77">
        <v>0.46500000000000002</v>
      </c>
      <c r="L24" s="77"/>
      <c r="M24" s="77"/>
      <c r="O24" s="78">
        <f t="shared" si="0"/>
        <v>0.90862068965517251</v>
      </c>
      <c r="P24" s="77">
        <v>0.7</v>
      </c>
      <c r="Q24" s="78" t="s">
        <v>48</v>
      </c>
      <c r="R24" s="78">
        <f t="shared" si="1"/>
        <v>1.4285714285714286</v>
      </c>
      <c r="S24" s="77">
        <v>0.17</v>
      </c>
      <c r="T24" s="79">
        <f>1.3*Euro</f>
        <v>9.6850000000000005</v>
      </c>
      <c r="U24" s="79">
        <f>38000*Euro/1000000</f>
        <v>0.28310000000000002</v>
      </c>
      <c r="V24" s="79">
        <f>0.82*Euro/3.6</f>
        <v>1.6969444444444444</v>
      </c>
      <c r="W24" s="78"/>
      <c r="X24" s="78"/>
      <c r="Y24" s="78"/>
      <c r="Z24" s="81"/>
      <c r="AA24" s="79">
        <v>60</v>
      </c>
      <c r="AB24" s="79">
        <v>6</v>
      </c>
      <c r="AC24" s="79">
        <v>1</v>
      </c>
      <c r="AD24" s="79"/>
      <c r="AE24" s="79"/>
      <c r="AF24" s="305"/>
      <c r="AI24" s="46"/>
      <c r="AJ24" s="393" t="s">
        <v>209</v>
      </c>
      <c r="AK24" s="60">
        <v>41452</v>
      </c>
      <c r="AL24" s="47" t="s">
        <v>210</v>
      </c>
      <c r="AM24" s="302"/>
      <c r="AS24" s="169">
        <f>-PMT($AT$10,Z23,T24)</f>
        <v>0.5600845101095101</v>
      </c>
      <c r="AT24" s="46">
        <f t="shared" si="10"/>
        <v>5000</v>
      </c>
      <c r="AU24" s="171">
        <f t="shared" si="6"/>
        <v>112.01690202190201</v>
      </c>
      <c r="AV24" s="171">
        <f t="shared" si="2"/>
        <v>56.620000000000005</v>
      </c>
      <c r="AW24" s="171">
        <f t="shared" si="3"/>
        <v>6.109</v>
      </c>
      <c r="AX24" s="171">
        <f t="array" aca="1" ref="AX24" ca="1">3.6*FuelPriceRAMSES!$X$43*INDEX(FuelPriceRAMSES!$R$33:$R$63,MATCH(RIGHT(INDIRECT("E"&amp;ROW()),2),RIGHT(FuelPriceRAMSES!$Q$33:$Q$63,2),0))</f>
        <v>137.73312000000001</v>
      </c>
      <c r="AY24" s="171">
        <f t="shared" si="4"/>
        <v>2.150537634408602</v>
      </c>
      <c r="AZ24" s="318">
        <v>1.2</v>
      </c>
      <c r="BA24" s="171">
        <f t="shared" si="7"/>
        <v>0.99709553825237907</v>
      </c>
      <c r="BB24" s="171">
        <f ca="1">AX20*(AY24-BA24)</f>
        <v>248.02732992213575</v>
      </c>
      <c r="BC24" s="258">
        <f t="shared" ca="1" si="9"/>
        <v>422.77323194403778</v>
      </c>
    </row>
    <row r="25" spans="1:55">
      <c r="A25" s="74"/>
      <c r="B25" s="74"/>
      <c r="C25" s="74"/>
      <c r="D25" s="75"/>
      <c r="E25" s="398" t="s">
        <v>551</v>
      </c>
      <c r="F25" s="74">
        <v>2030</v>
      </c>
      <c r="G25" s="74"/>
      <c r="H25" s="74"/>
      <c r="I25" s="74"/>
      <c r="J25" s="74"/>
      <c r="K25" s="77">
        <v>0.46500000000000002</v>
      </c>
      <c r="L25" s="77"/>
      <c r="M25" s="77"/>
      <c r="O25" s="78">
        <f t="shared" si="0"/>
        <v>0.90862068965517251</v>
      </c>
      <c r="P25" s="77">
        <v>0.7</v>
      </c>
      <c r="Q25" s="78" t="s">
        <v>48</v>
      </c>
      <c r="R25" s="78">
        <f t="shared" si="1"/>
        <v>1.4285714285714286</v>
      </c>
      <c r="S25" s="77">
        <v>0.17</v>
      </c>
      <c r="T25" s="79">
        <f>1.3*Euro</f>
        <v>9.6850000000000005</v>
      </c>
      <c r="U25" s="79">
        <f>38000*Euro/1000000</f>
        <v>0.28310000000000002</v>
      </c>
      <c r="V25" s="79">
        <f>0.82*Euro/3.6</f>
        <v>1.6969444444444444</v>
      </c>
      <c r="W25" s="78"/>
      <c r="X25" s="78"/>
      <c r="Y25" s="78"/>
      <c r="Z25" s="81"/>
      <c r="AA25" s="79">
        <v>60</v>
      </c>
      <c r="AB25" s="79">
        <v>6</v>
      </c>
      <c r="AC25" s="79">
        <v>1</v>
      </c>
      <c r="AD25" s="79"/>
      <c r="AE25" s="79"/>
      <c r="AF25" s="305"/>
      <c r="AI25" s="46"/>
      <c r="AJ25" s="393" t="s">
        <v>209</v>
      </c>
      <c r="AK25" s="60">
        <v>41452</v>
      </c>
      <c r="AL25" s="47" t="s">
        <v>210</v>
      </c>
      <c r="AM25" s="302"/>
      <c r="AS25" s="169">
        <f>-PMT($AT$10,Z23,T25)</f>
        <v>0.5600845101095101</v>
      </c>
      <c r="AT25" s="46">
        <f t="shared" si="10"/>
        <v>5000</v>
      </c>
      <c r="AU25" s="171">
        <f t="shared" si="6"/>
        <v>112.01690202190201</v>
      </c>
      <c r="AV25" s="171">
        <f t="shared" si="2"/>
        <v>56.620000000000005</v>
      </c>
      <c r="AW25" s="171">
        <f t="shared" si="3"/>
        <v>6.109</v>
      </c>
      <c r="AX25" s="171">
        <f t="array" aca="1" ref="AX25" ca="1">3.6*FuelPriceRAMSES!$X$53*INDEX(FuelPriceRAMSES!$R$33:$R$63,MATCH(RIGHT(INDIRECT("E"&amp;ROW()),2),RIGHT(FuelPriceRAMSES!$Q$33:$Q$63,2),0))</f>
        <v>228.03264000000001</v>
      </c>
      <c r="AY25" s="171">
        <f t="shared" si="4"/>
        <v>2.150537634408602</v>
      </c>
      <c r="AZ25" s="318">
        <v>1.2</v>
      </c>
      <c r="BA25" s="171">
        <f t="shared" si="7"/>
        <v>0.99709553825237907</v>
      </c>
      <c r="BB25" s="171">
        <f t="shared" ca="1" si="11"/>
        <v>263.0224462736374</v>
      </c>
      <c r="BC25" s="258">
        <f t="shared" ca="1" si="9"/>
        <v>437.76834829553945</v>
      </c>
    </row>
    <row r="26" spans="1:55">
      <c r="A26" s="74"/>
      <c r="B26" s="74"/>
      <c r="C26" s="74"/>
      <c r="D26" s="75"/>
      <c r="E26" s="398" t="s">
        <v>551</v>
      </c>
      <c r="F26" s="74">
        <v>2050</v>
      </c>
      <c r="G26" s="74"/>
      <c r="H26" s="74"/>
      <c r="I26" s="74"/>
      <c r="J26" s="74"/>
      <c r="K26" s="77">
        <v>0.46500000000000002</v>
      </c>
      <c r="L26" s="77"/>
      <c r="M26" s="77"/>
      <c r="O26" s="78">
        <f t="shared" si="0"/>
        <v>0.90862068965517251</v>
      </c>
      <c r="P26" s="77">
        <v>0.7</v>
      </c>
      <c r="Q26" s="78" t="s">
        <v>48</v>
      </c>
      <c r="R26" s="78">
        <f t="shared" si="1"/>
        <v>1.4285714285714286</v>
      </c>
      <c r="S26" s="77">
        <v>0.17</v>
      </c>
      <c r="T26" s="79">
        <f>1.3*Euro</f>
        <v>9.6850000000000005</v>
      </c>
      <c r="U26" s="79">
        <f>38000*Euro/1000000</f>
        <v>0.28310000000000002</v>
      </c>
      <c r="V26" s="79">
        <f>0.82*Euro/3.6</f>
        <v>1.6969444444444444</v>
      </c>
      <c r="W26" s="78"/>
      <c r="X26" s="78"/>
      <c r="Y26" s="78"/>
      <c r="Z26" s="81"/>
      <c r="AA26" s="79">
        <v>60</v>
      </c>
      <c r="AB26" s="79">
        <v>6</v>
      </c>
      <c r="AC26" s="79">
        <v>1</v>
      </c>
      <c r="AD26" s="79"/>
      <c r="AE26" s="79"/>
      <c r="AF26" s="305"/>
      <c r="AI26" s="46"/>
      <c r="AJ26" s="393" t="s">
        <v>209</v>
      </c>
      <c r="AK26" s="60">
        <v>41452</v>
      </c>
      <c r="AL26" s="47" t="s">
        <v>210</v>
      </c>
      <c r="AM26" s="302"/>
      <c r="AS26" s="169">
        <f>-PMT($AT$10,Z23,T26)</f>
        <v>0.5600845101095101</v>
      </c>
      <c r="AT26" s="46">
        <f t="shared" si="10"/>
        <v>5000</v>
      </c>
      <c r="AU26" s="171">
        <f t="shared" si="6"/>
        <v>112.01690202190201</v>
      </c>
      <c r="AV26" s="171">
        <f t="shared" si="2"/>
        <v>56.620000000000005</v>
      </c>
      <c r="AW26" s="171">
        <f t="shared" si="3"/>
        <v>6.109</v>
      </c>
      <c r="AX26" s="171">
        <f t="array" aca="1" ref="AX26" ca="1">3.6*FuelPriceRAMSES!$X$58*INDEX(FuelPriceRAMSES!$R$33:$R$63,MATCH(RIGHT(INDIRECT("E"&amp;ROW()),2),RIGHT(FuelPriceRAMSES!$Q$33:$Q$63,2),0))</f>
        <v>260.00640000000004</v>
      </c>
      <c r="AY26" s="171">
        <f t="shared" si="4"/>
        <v>2.150537634408602</v>
      </c>
      <c r="AZ26" s="318">
        <v>1.2</v>
      </c>
      <c r="BA26" s="171">
        <f t="shared" si="7"/>
        <v>0.99709553825237907</v>
      </c>
      <c r="BB26" s="171">
        <f t="shared" ca="1" si="11"/>
        <v>299.90232703003346</v>
      </c>
      <c r="BC26" s="258">
        <f t="shared" ca="1" si="9"/>
        <v>474.64822905193546</v>
      </c>
    </row>
    <row r="27" spans="1:55">
      <c r="A27" s="74" t="s">
        <v>464</v>
      </c>
      <c r="B27" s="83" t="s">
        <v>142</v>
      </c>
      <c r="C27" s="74" t="s">
        <v>430</v>
      </c>
      <c r="D27" s="75" t="s">
        <v>26</v>
      </c>
      <c r="E27" s="398" t="s">
        <v>551</v>
      </c>
      <c r="F27" s="74">
        <v>2015</v>
      </c>
      <c r="G27" s="74">
        <v>2015</v>
      </c>
      <c r="H27" s="76">
        <v>40</v>
      </c>
      <c r="I27" s="74"/>
      <c r="J27" s="74"/>
      <c r="K27" s="156">
        <v>0.41</v>
      </c>
      <c r="L27" s="77"/>
      <c r="M27" s="77"/>
      <c r="O27" s="78">
        <f t="shared" ref="O27:O38" si="12">(K27+K27*Q27)/(1+Q27*S27)</f>
        <v>0.84157894736842098</v>
      </c>
      <c r="P27" s="156">
        <v>0.95</v>
      </c>
      <c r="Q27" s="78">
        <f>1/P27</f>
        <v>1.0526315789473684</v>
      </c>
      <c r="R27" s="78"/>
      <c r="S27" s="78"/>
      <c r="T27" s="84">
        <f>0.6*Euro</f>
        <v>4.47</v>
      </c>
      <c r="U27" s="84">
        <f>(20000*Euro)/1000000</f>
        <v>0.14899999999999999</v>
      </c>
      <c r="V27" s="84">
        <f>4.5*Euro/3.6</f>
        <v>9.3125</v>
      </c>
      <c r="W27" s="78">
        <v>3.1536000000000002E-2</v>
      </c>
      <c r="X27" s="400">
        <v>0.9</v>
      </c>
      <c r="Y27" s="78">
        <v>1</v>
      </c>
      <c r="Z27" s="80">
        <v>25</v>
      </c>
      <c r="AA27" s="305">
        <v>20</v>
      </c>
      <c r="AB27" s="305">
        <v>1.5</v>
      </c>
      <c r="AC27" s="79">
        <v>1</v>
      </c>
      <c r="AD27" s="79"/>
      <c r="AE27" s="79"/>
      <c r="AF27" s="84">
        <v>1.5</v>
      </c>
      <c r="AI27" s="46"/>
      <c r="AJ27" s="397" t="s">
        <v>565</v>
      </c>
      <c r="AK27" s="404">
        <v>42817</v>
      </c>
      <c r="AL27" s="405" t="s">
        <v>566</v>
      </c>
      <c r="AM27" s="302"/>
      <c r="AS27" s="169">
        <f>-PMT($AT$10,Z27,T27)</f>
        <v>0.28613347365545205</v>
      </c>
      <c r="AT27" s="46">
        <f t="shared" si="10"/>
        <v>5000</v>
      </c>
      <c r="AU27" s="171">
        <f t="shared" si="6"/>
        <v>57.226694731090411</v>
      </c>
      <c r="AV27" s="171">
        <f t="shared" si="2"/>
        <v>29.8</v>
      </c>
      <c r="AW27" s="171">
        <f t="shared" si="3"/>
        <v>33.524999999999999</v>
      </c>
      <c r="AX27" s="171">
        <f t="array" aca="1" ref="AX27" ca="1">3.6*FuelPriceRAMSES!$X$38*INDEX(FuelPriceRAMSES!$R$33:$R$63,MATCH(RIGHT(INDIRECT("E"&amp;ROW()),2),RIGHT(FuelPriceRAMSES!$Q$33:$Q$63,2),0))</f>
        <v>100.43101642105255</v>
      </c>
      <c r="AY27" s="171">
        <f t="shared" si="4"/>
        <v>2.4390243902439024</v>
      </c>
      <c r="AZ27" s="318">
        <v>1.2</v>
      </c>
      <c r="BA27" s="171">
        <f t="shared" si="7"/>
        <v>1.1553273427471118</v>
      </c>
      <c r="BB27" s="171">
        <f t="shared" ca="1" si="11"/>
        <v>128.92299925680686</v>
      </c>
      <c r="BC27" s="258">
        <f t="shared" ca="1" si="9"/>
        <v>249.47469398789727</v>
      </c>
    </row>
    <row r="28" spans="1:55">
      <c r="A28" s="74"/>
      <c r="B28" s="74"/>
      <c r="C28" s="74"/>
      <c r="D28" s="75" t="s">
        <v>99</v>
      </c>
      <c r="E28" s="398" t="s">
        <v>551</v>
      </c>
      <c r="F28" s="74">
        <v>2020</v>
      </c>
      <c r="G28" s="74"/>
      <c r="H28" s="74"/>
      <c r="I28" s="74"/>
      <c r="J28" s="74"/>
      <c r="K28" s="156">
        <v>0.42</v>
      </c>
      <c r="L28" s="77"/>
      <c r="M28" s="77"/>
      <c r="O28" s="78">
        <f t="shared" si="12"/>
        <v>0.85749999999999993</v>
      </c>
      <c r="P28" s="156">
        <v>0.96</v>
      </c>
      <c r="Q28" s="78">
        <f t="shared" ref="Q28:Q38" si="13">1/P28</f>
        <v>1.0416666666666667</v>
      </c>
      <c r="R28" s="78"/>
      <c r="S28" s="78"/>
      <c r="T28" s="84">
        <f>0.59*Euro</f>
        <v>4.3955000000000002</v>
      </c>
      <c r="U28" s="84">
        <f>(19500*Euro)/1000000</f>
        <v>0.14527499999999999</v>
      </c>
      <c r="V28" s="84">
        <f>4.4*Euro/3.6</f>
        <v>9.1055555555555561</v>
      </c>
      <c r="W28" s="78"/>
      <c r="X28" s="78"/>
      <c r="Y28" s="78"/>
      <c r="Z28" s="81"/>
      <c r="AA28" s="305">
        <v>15</v>
      </c>
      <c r="AB28" s="305">
        <v>1.5</v>
      </c>
      <c r="AC28" s="79">
        <v>1</v>
      </c>
      <c r="AD28" s="79"/>
      <c r="AE28" s="79"/>
      <c r="AF28" s="305"/>
      <c r="AI28" s="46"/>
      <c r="AJ28" s="397" t="s">
        <v>565</v>
      </c>
      <c r="AK28" s="404">
        <v>42817</v>
      </c>
      <c r="AL28" s="405" t="s">
        <v>566</v>
      </c>
      <c r="AM28" s="302"/>
      <c r="AS28" s="169">
        <f>-PMT($AT$10,Z27,T28)</f>
        <v>0.28136458242786122</v>
      </c>
      <c r="AT28" s="46">
        <f t="shared" si="10"/>
        <v>5000</v>
      </c>
      <c r="AU28" s="171">
        <f t="shared" si="6"/>
        <v>56.272916485572246</v>
      </c>
      <c r="AV28" s="171">
        <f t="shared" si="2"/>
        <v>29.055</v>
      </c>
      <c r="AW28" s="171">
        <f t="shared" si="3"/>
        <v>32.780000000000008</v>
      </c>
      <c r="AX28" s="171">
        <f t="array" aca="1" ref="AX28" ca="1">3.6*FuelPriceRAMSES!$X$43*INDEX(FuelPriceRAMSES!$R$33:$R$63,MATCH(RIGHT(INDIRECT("E"&amp;ROW()),2),RIGHT(FuelPriceRAMSES!$Q$33:$Q$63,2),0))</f>
        <v>137.73312000000001</v>
      </c>
      <c r="AY28" s="171">
        <f t="shared" si="4"/>
        <v>2.3809523809523809</v>
      </c>
      <c r="AZ28" s="318">
        <v>1.2</v>
      </c>
      <c r="BA28" s="171">
        <f t="shared" si="7"/>
        <v>1.1160714285714288</v>
      </c>
      <c r="BB28" s="171">
        <f t="shared" ca="1" si="11"/>
        <v>174.21599999999998</v>
      </c>
      <c r="BC28" s="258">
        <f t="shared" ca="1" si="9"/>
        <v>292.32391648557223</v>
      </c>
    </row>
    <row r="29" spans="1:55">
      <c r="A29" s="74"/>
      <c r="B29" s="74"/>
      <c r="C29" s="74"/>
      <c r="D29" s="75"/>
      <c r="E29" s="398" t="s">
        <v>551</v>
      </c>
      <c r="F29" s="74">
        <v>2030</v>
      </c>
      <c r="G29" s="74"/>
      <c r="H29" s="74"/>
      <c r="I29" s="74"/>
      <c r="J29" s="74"/>
      <c r="K29" s="156">
        <v>0.43</v>
      </c>
      <c r="L29" s="77"/>
      <c r="M29" s="77"/>
      <c r="O29" s="78">
        <f t="shared" si="12"/>
        <v>0.86</v>
      </c>
      <c r="P29" s="156">
        <v>1</v>
      </c>
      <c r="Q29" s="78">
        <f t="shared" si="13"/>
        <v>1</v>
      </c>
      <c r="R29" s="78"/>
      <c r="S29" s="78"/>
      <c r="T29" s="84">
        <f>0.56*Euro</f>
        <v>4.1720000000000006</v>
      </c>
      <c r="U29" s="84">
        <f>(18600*Euro)/1000000</f>
        <v>0.13857</v>
      </c>
      <c r="V29" s="84">
        <f>4.2*Euro/3.6</f>
        <v>8.6916666666666664</v>
      </c>
      <c r="W29" s="78"/>
      <c r="X29" s="78"/>
      <c r="Y29" s="78"/>
      <c r="Z29" s="81"/>
      <c r="AA29" s="305">
        <v>10</v>
      </c>
      <c r="AB29" s="305">
        <v>1.5</v>
      </c>
      <c r="AC29" s="79">
        <v>1</v>
      </c>
      <c r="AD29" s="79"/>
      <c r="AE29" s="79"/>
      <c r="AF29" s="305"/>
      <c r="AI29" s="46"/>
      <c r="AJ29" s="397" t="s">
        <v>565</v>
      </c>
      <c r="AK29" s="404">
        <v>42817</v>
      </c>
      <c r="AL29" s="405" t="s">
        <v>566</v>
      </c>
      <c r="AM29" s="302"/>
      <c r="AS29" s="169">
        <f>-PMT($AT$10,Z27,T29)</f>
        <v>0.26705790874508867</v>
      </c>
      <c r="AT29" s="46">
        <f t="shared" si="10"/>
        <v>5000</v>
      </c>
      <c r="AU29" s="171">
        <f t="shared" si="6"/>
        <v>53.411581749017735</v>
      </c>
      <c r="AV29" s="171">
        <f t="shared" si="2"/>
        <v>27.713999999999999</v>
      </c>
      <c r="AW29" s="171">
        <f t="shared" si="3"/>
        <v>31.29</v>
      </c>
      <c r="AX29" s="171">
        <f t="array" aca="1" ref="AX29" ca="1">3.6*FuelPriceRAMSES!$X$53*INDEX(FuelPriceRAMSES!$R$33:$R$63,MATCH(RIGHT(INDIRECT("E"&amp;ROW()),2),RIGHT(FuelPriceRAMSES!$Q$33:$Q$63,2),0))</f>
        <v>228.03264000000001</v>
      </c>
      <c r="AY29" s="171">
        <f t="shared" si="4"/>
        <v>2.3255813953488373</v>
      </c>
      <c r="AZ29" s="318">
        <v>1.2</v>
      </c>
      <c r="BA29" s="171">
        <f t="shared" si="7"/>
        <v>1.1046511627906979</v>
      </c>
      <c r="BB29" s="171">
        <f ca="1">AX21*(AY29-BA29)</f>
        <v>302.43516279069763</v>
      </c>
      <c r="BC29" s="258">
        <f t="shared" ca="1" si="9"/>
        <v>414.85074453971538</v>
      </c>
    </row>
    <row r="30" spans="1:55">
      <c r="A30" s="74"/>
      <c r="B30" s="74"/>
      <c r="C30" s="74"/>
      <c r="D30" s="75"/>
      <c r="E30" s="398" t="s">
        <v>551</v>
      </c>
      <c r="F30" s="74">
        <v>2050</v>
      </c>
      <c r="G30" s="74"/>
      <c r="H30" s="74"/>
      <c r="I30" s="74"/>
      <c r="J30" s="74"/>
      <c r="K30" s="156">
        <v>0.45</v>
      </c>
      <c r="L30" s="77"/>
      <c r="M30" s="77"/>
      <c r="O30" s="78">
        <f t="shared" si="12"/>
        <v>0.9</v>
      </c>
      <c r="P30" s="156">
        <v>1</v>
      </c>
      <c r="Q30" s="78">
        <f t="shared" si="13"/>
        <v>1</v>
      </c>
      <c r="R30" s="78"/>
      <c r="S30" s="78"/>
      <c r="T30" s="84">
        <f>0.52*Euro</f>
        <v>3.8740000000000001</v>
      </c>
      <c r="U30" s="84">
        <f>(18000*Euro)/1000000</f>
        <v>0.1341</v>
      </c>
      <c r="V30" s="84">
        <f>4*Euro/3.6</f>
        <v>8.2777777777777786</v>
      </c>
      <c r="W30" s="78"/>
      <c r="X30" s="78"/>
      <c r="Y30" s="78"/>
      <c r="Z30" s="81"/>
      <c r="AA30" s="305">
        <v>10</v>
      </c>
      <c r="AB30" s="305">
        <v>1.5</v>
      </c>
      <c r="AC30" s="79">
        <v>1</v>
      </c>
      <c r="AD30" s="79"/>
      <c r="AE30" s="79"/>
      <c r="AF30" s="305"/>
      <c r="AI30" s="46"/>
      <c r="AJ30" s="397" t="s">
        <v>565</v>
      </c>
      <c r="AK30" s="404">
        <v>42817</v>
      </c>
      <c r="AL30" s="405" t="s">
        <v>566</v>
      </c>
      <c r="AM30" s="302"/>
      <c r="AS30" s="169">
        <f>-PMT($AT$10,Z27,T30)</f>
        <v>0.24798234383472514</v>
      </c>
      <c r="AT30" s="46">
        <f t="shared" si="10"/>
        <v>5000</v>
      </c>
      <c r="AU30" s="171">
        <f t="shared" si="6"/>
        <v>49.59646876694503</v>
      </c>
      <c r="AV30" s="171">
        <f t="shared" si="2"/>
        <v>26.82</v>
      </c>
      <c r="AW30" s="171">
        <f t="shared" si="3"/>
        <v>29.800000000000008</v>
      </c>
      <c r="AX30" s="171">
        <f t="array" aca="1" ref="AX30" ca="1">3.6*FuelPriceRAMSES!$X$58*INDEX(FuelPriceRAMSES!$R$33:$R$63,MATCH(RIGHT(INDIRECT("E"&amp;ROW()),2),RIGHT(FuelPriceRAMSES!$Q$33:$Q$63,2),0))</f>
        <v>260.00640000000004</v>
      </c>
      <c r="AY30" s="171">
        <f t="shared" si="4"/>
        <v>2.2222222222222223</v>
      </c>
      <c r="AZ30" s="318">
        <v>1.2</v>
      </c>
      <c r="BA30" s="171">
        <f t="shared" si="7"/>
        <v>1.0185185185185186</v>
      </c>
      <c r="BB30" s="171">
        <f t="shared" ca="1" si="11"/>
        <v>312.97066666666672</v>
      </c>
      <c r="BC30" s="258">
        <f t="shared" ca="1" si="9"/>
        <v>419.18713543361173</v>
      </c>
    </row>
    <row r="31" spans="1:55">
      <c r="A31" s="74" t="s">
        <v>465</v>
      </c>
      <c r="B31" s="83" t="s">
        <v>143</v>
      </c>
      <c r="C31" s="74" t="s">
        <v>430</v>
      </c>
      <c r="D31" s="75" t="s">
        <v>26</v>
      </c>
      <c r="E31" s="398" t="s">
        <v>551</v>
      </c>
      <c r="F31" s="74">
        <v>2015</v>
      </c>
      <c r="G31" s="74">
        <v>2015</v>
      </c>
      <c r="H31" s="76">
        <v>5</v>
      </c>
      <c r="I31" s="74"/>
      <c r="J31" s="74"/>
      <c r="K31" s="156">
        <v>0.36</v>
      </c>
      <c r="L31" s="77"/>
      <c r="M31" s="77"/>
      <c r="O31" s="78">
        <f t="shared" si="12"/>
        <v>0.86704225352112674</v>
      </c>
      <c r="P31" s="156">
        <v>0.71</v>
      </c>
      <c r="Q31" s="78">
        <f t="shared" si="13"/>
        <v>1.4084507042253522</v>
      </c>
      <c r="R31" s="78"/>
      <c r="S31" s="78"/>
      <c r="T31" s="84">
        <f>0.75*Euro</f>
        <v>5.5875000000000004</v>
      </c>
      <c r="U31" s="84">
        <f>(20000*Euro)/1000000</f>
        <v>0.14899999999999999</v>
      </c>
      <c r="V31" s="84">
        <f>5.5*Euro/3.6</f>
        <v>11.381944444444445</v>
      </c>
      <c r="W31" s="78">
        <v>3.1536000000000002E-2</v>
      </c>
      <c r="X31" s="400">
        <v>0.9</v>
      </c>
      <c r="Y31" s="78">
        <v>1</v>
      </c>
      <c r="Z31" s="80">
        <v>25</v>
      </c>
      <c r="AA31" s="305">
        <v>20</v>
      </c>
      <c r="AB31" s="305">
        <v>1.5</v>
      </c>
      <c r="AC31" s="79">
        <v>1</v>
      </c>
      <c r="AD31" s="79"/>
      <c r="AE31" s="79"/>
      <c r="AF31" s="84">
        <v>1.5</v>
      </c>
      <c r="AI31" s="46"/>
      <c r="AJ31" s="397" t="s">
        <v>565</v>
      </c>
      <c r="AK31" s="404">
        <v>42817</v>
      </c>
      <c r="AL31" s="405" t="s">
        <v>566</v>
      </c>
      <c r="AM31" s="302"/>
      <c r="AS31" s="169">
        <f>-PMT($AT$10,Z31,T31)</f>
        <v>0.35766684206931515</v>
      </c>
      <c r="AT31" s="46">
        <f t="shared" si="10"/>
        <v>5000</v>
      </c>
      <c r="AU31" s="171">
        <f t="shared" si="6"/>
        <v>71.53336841386303</v>
      </c>
      <c r="AV31" s="171">
        <f t="shared" si="2"/>
        <v>29.8</v>
      </c>
      <c r="AW31" s="171">
        <f t="shared" si="3"/>
        <v>40.975000000000009</v>
      </c>
      <c r="AX31" s="171">
        <f t="array" aca="1" ref="AX31" ca="1">3.6*FuelPriceRAMSES!$X$38*INDEX(FuelPriceRAMSES!$R$33:$R$63,MATCH(RIGHT(INDIRECT("E"&amp;ROW()),2),RIGHT(FuelPriceRAMSES!$Q$33:$Q$63,2),0))</f>
        <v>100.43101642105255</v>
      </c>
      <c r="AY31" s="171">
        <f t="shared" si="4"/>
        <v>2.7777777777777777</v>
      </c>
      <c r="AZ31" s="318">
        <v>1.2</v>
      </c>
      <c r="BA31" s="171">
        <f t="shared" si="7"/>
        <v>1.1411058946270214</v>
      </c>
      <c r="BB31" s="171">
        <f t="shared" ca="1" si="11"/>
        <v>164.37262077258859</v>
      </c>
      <c r="BC31" s="258">
        <f t="shared" ca="1" si="9"/>
        <v>306.6809891864516</v>
      </c>
    </row>
    <row r="32" spans="1:55">
      <c r="A32" s="74"/>
      <c r="B32" s="74"/>
      <c r="C32" s="74"/>
      <c r="D32" s="75" t="s">
        <v>99</v>
      </c>
      <c r="E32" s="398" t="s">
        <v>551</v>
      </c>
      <c r="F32" s="74">
        <v>2020</v>
      </c>
      <c r="G32" s="74"/>
      <c r="H32" s="74"/>
      <c r="I32" s="74"/>
      <c r="J32" s="74"/>
      <c r="K32" s="156">
        <v>0.37</v>
      </c>
      <c r="L32" s="77"/>
      <c r="M32" s="77"/>
      <c r="O32" s="78">
        <f t="shared" si="12"/>
        <v>0.87684931506849306</v>
      </c>
      <c r="P32" s="156">
        <v>0.73</v>
      </c>
      <c r="Q32" s="78">
        <f t="shared" si="13"/>
        <v>1.3698630136986301</v>
      </c>
      <c r="R32" s="78"/>
      <c r="S32" s="78"/>
      <c r="T32" s="84">
        <f>0.73*Euro</f>
        <v>5.4385000000000003</v>
      </c>
      <c r="U32" s="84">
        <f>(19500*Euro)/1000000</f>
        <v>0.14527499999999999</v>
      </c>
      <c r="V32" s="84">
        <f>5.4*Euro/3.6</f>
        <v>11.175000000000001</v>
      </c>
      <c r="W32" s="78"/>
      <c r="X32" s="78"/>
      <c r="Y32" s="78"/>
      <c r="Z32" s="81"/>
      <c r="AA32" s="305">
        <v>15</v>
      </c>
      <c r="AB32" s="305">
        <v>1.5</v>
      </c>
      <c r="AC32" s="305">
        <v>1</v>
      </c>
      <c r="AD32" s="79"/>
      <c r="AE32" s="79"/>
      <c r="AF32" s="305"/>
      <c r="AI32" s="46"/>
      <c r="AJ32" s="397" t="s">
        <v>565</v>
      </c>
      <c r="AK32" s="404">
        <v>42817</v>
      </c>
      <c r="AL32" s="405" t="s">
        <v>566</v>
      </c>
      <c r="AM32" s="302"/>
      <c r="AS32" s="169">
        <f>-PMT($AT$10,Z31,T32)</f>
        <v>0.34812905961413337</v>
      </c>
      <c r="AT32" s="46">
        <f t="shared" si="10"/>
        <v>5000</v>
      </c>
      <c r="AU32" s="171">
        <f t="shared" si="6"/>
        <v>69.625811922826671</v>
      </c>
      <c r="AV32" s="171">
        <f t="shared" si="2"/>
        <v>29.055</v>
      </c>
      <c r="AW32" s="171">
        <f t="shared" si="3"/>
        <v>40.229999999999997</v>
      </c>
      <c r="AX32" s="171">
        <f t="array" aca="1" ref="AX32" ca="1">3.6*FuelPriceRAMSES!$X$43*INDEX(FuelPriceRAMSES!$R$33:$R$63,MATCH(RIGHT(INDIRECT("E"&amp;ROW()),2),RIGHT(FuelPriceRAMSES!$Q$33:$Q$63,2),0))</f>
        <v>137.73312000000001</v>
      </c>
      <c r="AY32" s="171">
        <f t="shared" si="4"/>
        <v>2.7027027027027026</v>
      </c>
      <c r="AZ32" s="318">
        <v>1.2</v>
      </c>
      <c r="BA32" s="171">
        <f t="shared" si="7"/>
        <v>1.1106997408367274</v>
      </c>
      <c r="BB32" s="171">
        <f t="shared" ca="1" si="11"/>
        <v>219.2715349870418</v>
      </c>
      <c r="BC32" s="258">
        <f t="shared" ca="1" si="9"/>
        <v>358.18234690986844</v>
      </c>
    </row>
    <row r="33" spans="1:55">
      <c r="A33" s="74"/>
      <c r="B33" s="74"/>
      <c r="C33" s="74"/>
      <c r="D33" s="75"/>
      <c r="E33" s="398" t="s">
        <v>551</v>
      </c>
      <c r="F33" s="74">
        <v>2030</v>
      </c>
      <c r="G33" s="74"/>
      <c r="H33" s="74"/>
      <c r="I33" s="74"/>
      <c r="J33" s="74"/>
      <c r="K33" s="156">
        <v>0.39</v>
      </c>
      <c r="L33" s="77"/>
      <c r="M33" s="77"/>
      <c r="O33" s="78">
        <f t="shared" si="12"/>
        <v>0.87750000000000006</v>
      </c>
      <c r="P33" s="156">
        <v>0.8</v>
      </c>
      <c r="Q33" s="78">
        <f t="shared" si="13"/>
        <v>1.25</v>
      </c>
      <c r="R33" s="78"/>
      <c r="S33" s="78"/>
      <c r="T33" s="84">
        <f>0.7*Euro</f>
        <v>5.2149999999999999</v>
      </c>
      <c r="U33" s="84">
        <f>(18600*Euro)/1000000</f>
        <v>0.13857</v>
      </c>
      <c r="V33" s="84">
        <f>5.1*Euro/3.6</f>
        <v>10.554166666666665</v>
      </c>
      <c r="W33" s="78"/>
      <c r="X33" s="78"/>
      <c r="Y33" s="78"/>
      <c r="Z33" s="81"/>
      <c r="AA33" s="305">
        <v>10</v>
      </c>
      <c r="AB33" s="305">
        <v>1.5</v>
      </c>
      <c r="AC33" s="305">
        <v>1</v>
      </c>
      <c r="AD33" s="79"/>
      <c r="AE33" s="79"/>
      <c r="AF33" s="305"/>
      <c r="AI33" s="46"/>
      <c r="AJ33" s="397" t="s">
        <v>565</v>
      </c>
      <c r="AK33" s="404">
        <v>42817</v>
      </c>
      <c r="AL33" s="405" t="s">
        <v>566</v>
      </c>
      <c r="AM33" s="302"/>
      <c r="AS33" s="169">
        <f>-PMT($AT$10,Z31,T33)</f>
        <v>0.33382238593136071</v>
      </c>
      <c r="AT33" s="46">
        <f t="shared" si="10"/>
        <v>5000</v>
      </c>
      <c r="AU33" s="171">
        <f t="shared" si="6"/>
        <v>66.764477186272146</v>
      </c>
      <c r="AV33" s="171">
        <f t="shared" si="2"/>
        <v>27.713999999999999</v>
      </c>
      <c r="AW33" s="171">
        <f t="shared" si="3"/>
        <v>37.994999999999997</v>
      </c>
      <c r="AX33" s="171">
        <f t="array" aca="1" ref="AX33" ca="1">3.6*FuelPriceRAMSES!$X$53*INDEX(FuelPriceRAMSES!$R$33:$R$63,MATCH(RIGHT(INDIRECT("E"&amp;ROW()),2),RIGHT(FuelPriceRAMSES!$Q$33:$Q$63,2),0))</f>
        <v>228.03264000000001</v>
      </c>
      <c r="AY33" s="171">
        <f t="shared" si="4"/>
        <v>2.5641025641025639</v>
      </c>
      <c r="AZ33" s="318">
        <v>1.2</v>
      </c>
      <c r="BA33" s="171">
        <f t="shared" si="7"/>
        <v>1.09508547008547</v>
      </c>
      <c r="BB33" s="171">
        <f t="shared" ca="1" si="11"/>
        <v>334.98384615384617</v>
      </c>
      <c r="BC33" s="258">
        <f t="shared" ca="1" si="9"/>
        <v>467.45732334011831</v>
      </c>
    </row>
    <row r="34" spans="1:55">
      <c r="A34" s="74"/>
      <c r="B34" s="74"/>
      <c r="C34" s="74"/>
      <c r="D34" s="75"/>
      <c r="E34" s="398" t="s">
        <v>551</v>
      </c>
      <c r="F34" s="74">
        <v>2050</v>
      </c>
      <c r="G34" s="74"/>
      <c r="H34" s="74"/>
      <c r="I34" s="74"/>
      <c r="J34" s="74"/>
      <c r="K34" s="156">
        <v>0.4</v>
      </c>
      <c r="L34" s="77"/>
      <c r="M34" s="77"/>
      <c r="O34" s="78">
        <f t="shared" si="12"/>
        <v>0.9</v>
      </c>
      <c r="P34" s="156">
        <v>0.8</v>
      </c>
      <c r="Q34" s="78">
        <f t="shared" si="13"/>
        <v>1.25</v>
      </c>
      <c r="R34" s="78"/>
      <c r="S34" s="78"/>
      <c r="T34" s="84">
        <f>0.68*Euro</f>
        <v>5.0660000000000007</v>
      </c>
      <c r="U34" s="84">
        <f>(18000*Euro)/1000000</f>
        <v>0.1341</v>
      </c>
      <c r="V34" s="84">
        <f>4.6*Euro/3.6</f>
        <v>9.5194444444444439</v>
      </c>
      <c r="W34" s="78"/>
      <c r="X34" s="78"/>
      <c r="Y34" s="78"/>
      <c r="Z34" s="81"/>
      <c r="AA34" s="305">
        <v>10</v>
      </c>
      <c r="AB34" s="305">
        <v>1.5</v>
      </c>
      <c r="AC34" s="305">
        <v>1</v>
      </c>
      <c r="AD34" s="79"/>
      <c r="AE34" s="79"/>
      <c r="AF34" s="305"/>
      <c r="AI34" s="46"/>
      <c r="AJ34" s="397" t="s">
        <v>565</v>
      </c>
      <c r="AK34" s="404">
        <v>42817</v>
      </c>
      <c r="AL34" s="405" t="s">
        <v>566</v>
      </c>
      <c r="AM34" s="302"/>
      <c r="AS34" s="169">
        <f>-PMT($AT$10,Z31,T34)</f>
        <v>0.3242846034761791</v>
      </c>
      <c r="AT34" s="46">
        <f t="shared" si="10"/>
        <v>5000</v>
      </c>
      <c r="AU34" s="171">
        <f t="shared" si="6"/>
        <v>64.856920695235814</v>
      </c>
      <c r="AV34" s="171">
        <f t="shared" si="2"/>
        <v>26.82</v>
      </c>
      <c r="AW34" s="171">
        <f t="shared" si="3"/>
        <v>34.270000000000003</v>
      </c>
      <c r="AX34" s="171">
        <f t="array" aca="1" ref="AX34" ca="1">3.6*FuelPriceRAMSES!$X$58*INDEX(FuelPriceRAMSES!$R$33:$R$63,MATCH(RIGHT(INDIRECT("E"&amp;ROW()),2),RIGHT(FuelPriceRAMSES!$Q$33:$Q$63,2),0))</f>
        <v>260.00640000000004</v>
      </c>
      <c r="AY34" s="171">
        <f t="shared" si="4"/>
        <v>2.5</v>
      </c>
      <c r="AZ34" s="318">
        <v>1.2</v>
      </c>
      <c r="BA34" s="171">
        <f t="shared" si="7"/>
        <v>1.0416666666666667</v>
      </c>
      <c r="BB34" s="171">
        <f ca="1">AX22*(AY34-BA34)</f>
        <v>366.8784</v>
      </c>
      <c r="BC34" s="258">
        <f t="shared" ca="1" si="9"/>
        <v>492.82532069523586</v>
      </c>
    </row>
    <row r="35" spans="1:55">
      <c r="A35" s="74" t="s">
        <v>466</v>
      </c>
      <c r="B35" s="83" t="s">
        <v>144</v>
      </c>
      <c r="C35" s="74" t="s">
        <v>430</v>
      </c>
      <c r="D35" s="75" t="s">
        <v>26</v>
      </c>
      <c r="E35" s="398" t="s">
        <v>551</v>
      </c>
      <c r="F35" s="74">
        <v>2015</v>
      </c>
      <c r="G35" s="74">
        <v>2015</v>
      </c>
      <c r="H35" s="401">
        <v>0.15</v>
      </c>
      <c r="I35" s="74"/>
      <c r="J35" s="74"/>
      <c r="K35" s="156">
        <v>0.3</v>
      </c>
      <c r="L35" s="77"/>
      <c r="M35" s="77"/>
      <c r="O35" s="78">
        <f t="shared" si="12"/>
        <v>0.8</v>
      </c>
      <c r="P35" s="156">
        <v>0.6</v>
      </c>
      <c r="Q35" s="78">
        <f t="shared" si="13"/>
        <v>1.6666666666666667</v>
      </c>
      <c r="R35" s="78"/>
      <c r="S35" s="78"/>
      <c r="T35" s="84">
        <f>1.2*Euro</f>
        <v>8.94</v>
      </c>
      <c r="U35" s="79">
        <v>0</v>
      </c>
      <c r="V35" s="84">
        <f>15*Euro/3.6</f>
        <v>31.041666666666664</v>
      </c>
      <c r="W35" s="78">
        <v>3.1536000000000002E-2</v>
      </c>
      <c r="X35" s="402">
        <v>0.9</v>
      </c>
      <c r="Y35" s="78">
        <v>1</v>
      </c>
      <c r="Z35" s="403">
        <v>15</v>
      </c>
      <c r="AA35" s="305">
        <v>10</v>
      </c>
      <c r="AB35" s="305">
        <v>6</v>
      </c>
      <c r="AC35" s="305"/>
      <c r="AD35" s="79"/>
      <c r="AE35" s="79"/>
      <c r="AF35" s="84">
        <v>0.5</v>
      </c>
      <c r="AI35" s="46"/>
      <c r="AJ35" s="397" t="s">
        <v>565</v>
      </c>
      <c r="AK35" s="404">
        <v>42817</v>
      </c>
      <c r="AL35" s="405" t="s">
        <v>566</v>
      </c>
      <c r="AM35" s="302"/>
      <c r="AS35" s="169">
        <f>-PMT($AT$10,Z35,T35)</f>
        <v>0.80407343731650027</v>
      </c>
      <c r="AT35" s="46">
        <f t="shared" si="10"/>
        <v>5000</v>
      </c>
      <c r="AU35" s="171">
        <f t="shared" si="6"/>
        <v>160.81468746330006</v>
      </c>
      <c r="AV35" s="171">
        <f t="shared" si="2"/>
        <v>0</v>
      </c>
      <c r="AW35" s="171">
        <f t="shared" si="3"/>
        <v>111.75</v>
      </c>
      <c r="AX35" s="171">
        <f t="array" aca="1" ref="AX35" ca="1">3.6*FuelPriceRAMSES!$X$38*INDEX(FuelPriceRAMSES!$R$33:$R$63,MATCH(RIGHT(INDIRECT("E"&amp;ROW()),2),RIGHT(FuelPriceRAMSES!$Q$33:$Q$63,2),0))</f>
        <v>100.43101642105255</v>
      </c>
      <c r="AY35" s="171">
        <f t="shared" si="4"/>
        <v>3.3333333333333335</v>
      </c>
      <c r="AZ35" s="318">
        <v>1.2</v>
      </c>
      <c r="BA35" s="171">
        <f t="shared" si="7"/>
        <v>1.3888888888888891</v>
      </c>
      <c r="BB35" s="171">
        <f t="shared" ca="1" si="11"/>
        <v>195.28253192982439</v>
      </c>
      <c r="BC35" s="258">
        <f t="shared" ca="1" si="9"/>
        <v>467.84721939312442</v>
      </c>
    </row>
    <row r="36" spans="1:55">
      <c r="A36" s="74"/>
      <c r="B36" s="74"/>
      <c r="C36" s="74"/>
      <c r="D36" s="75" t="s">
        <v>99</v>
      </c>
      <c r="E36" s="398" t="s">
        <v>551</v>
      </c>
      <c r="F36" s="74">
        <v>2020</v>
      </c>
      <c r="G36" s="74"/>
      <c r="H36" s="74"/>
      <c r="I36" s="74"/>
      <c r="J36" s="74"/>
      <c r="K36" s="156">
        <v>0.3</v>
      </c>
      <c r="L36" s="77"/>
      <c r="M36" s="77"/>
      <c r="O36" s="78">
        <f t="shared" si="12"/>
        <v>0.8</v>
      </c>
      <c r="P36" s="156">
        <v>0.6</v>
      </c>
      <c r="Q36" s="78">
        <f t="shared" si="13"/>
        <v>1.6666666666666667</v>
      </c>
      <c r="R36" s="78"/>
      <c r="S36" s="78"/>
      <c r="T36" s="84">
        <f>1.2*Euro</f>
        <v>8.94</v>
      </c>
      <c r="U36" s="79">
        <v>0</v>
      </c>
      <c r="V36" s="84">
        <f>15*Euro/3.6</f>
        <v>31.041666666666664</v>
      </c>
      <c r="W36" s="78"/>
      <c r="X36" s="78"/>
      <c r="Y36" s="78"/>
      <c r="Z36" s="81"/>
      <c r="AA36" s="305">
        <v>10</v>
      </c>
      <c r="AB36" s="305">
        <v>6</v>
      </c>
      <c r="AC36" s="305"/>
      <c r="AD36" s="79"/>
      <c r="AE36" s="79"/>
      <c r="AF36" s="305"/>
      <c r="AI36" s="46"/>
      <c r="AJ36" s="397" t="s">
        <v>565</v>
      </c>
      <c r="AK36" s="404">
        <v>42817</v>
      </c>
      <c r="AL36" s="405" t="s">
        <v>566</v>
      </c>
      <c r="AM36" s="302"/>
      <c r="AS36" s="169">
        <f>-PMT($AT$10,Z35,T36)</f>
        <v>0.80407343731650027</v>
      </c>
      <c r="AT36" s="46">
        <f t="shared" si="10"/>
        <v>5000</v>
      </c>
      <c r="AU36" s="171">
        <f t="shared" si="6"/>
        <v>160.81468746330006</v>
      </c>
      <c r="AV36" s="171">
        <f t="shared" si="2"/>
        <v>0</v>
      </c>
      <c r="AW36" s="171">
        <f t="shared" si="3"/>
        <v>111.75</v>
      </c>
      <c r="AX36" s="171">
        <f t="array" aca="1" ref="AX36" ca="1">3.6*FuelPriceRAMSES!$X$43*INDEX(FuelPriceRAMSES!$R$33:$R$63,MATCH(RIGHT(INDIRECT("E"&amp;ROW()),2),RIGHT(FuelPriceRAMSES!$Q$33:$Q$63,2),0))</f>
        <v>137.73312000000001</v>
      </c>
      <c r="AY36" s="171">
        <f t="shared" si="4"/>
        <v>3.3333333333333335</v>
      </c>
      <c r="AZ36" s="318">
        <v>1.2</v>
      </c>
      <c r="BA36" s="171">
        <f t="shared" si="7"/>
        <v>1.3888888888888891</v>
      </c>
      <c r="BB36" s="171">
        <f t="shared" ca="1" si="11"/>
        <v>267.81440000000003</v>
      </c>
      <c r="BC36" s="258">
        <f t="shared" ca="1" si="9"/>
        <v>540.37908746330004</v>
      </c>
    </row>
    <row r="37" spans="1:55">
      <c r="A37" s="74"/>
      <c r="B37" s="74"/>
      <c r="C37" s="74"/>
      <c r="D37" s="75"/>
      <c r="E37" s="398" t="s">
        <v>551</v>
      </c>
      <c r="F37" s="74">
        <v>2030</v>
      </c>
      <c r="G37" s="74"/>
      <c r="H37" s="74"/>
      <c r="I37" s="74"/>
      <c r="J37" s="74"/>
      <c r="K37" s="156">
        <v>0.3</v>
      </c>
      <c r="L37" s="77"/>
      <c r="M37" s="77"/>
      <c r="O37" s="78">
        <f t="shared" si="12"/>
        <v>0.8</v>
      </c>
      <c r="P37" s="156">
        <v>0.6</v>
      </c>
      <c r="Q37" s="78">
        <f t="shared" si="13"/>
        <v>1.6666666666666667</v>
      </c>
      <c r="R37" s="78"/>
      <c r="S37" s="78"/>
      <c r="T37" s="84">
        <f>1.1*Euro</f>
        <v>8.1950000000000003</v>
      </c>
      <c r="U37" s="79">
        <v>0</v>
      </c>
      <c r="V37" s="84">
        <f>14*Euro/3.6</f>
        <v>28.972222222222221</v>
      </c>
      <c r="W37" s="78"/>
      <c r="X37" s="78"/>
      <c r="Y37" s="78"/>
      <c r="Z37" s="81"/>
      <c r="AA37" s="305">
        <v>10</v>
      </c>
      <c r="AB37" s="305">
        <v>6</v>
      </c>
      <c r="AC37" s="305"/>
      <c r="AD37" s="79"/>
      <c r="AE37" s="79"/>
      <c r="AF37" s="305"/>
      <c r="AI37" s="46"/>
      <c r="AJ37" s="397" t="s">
        <v>565</v>
      </c>
      <c r="AK37" s="404">
        <v>42817</v>
      </c>
      <c r="AL37" s="405" t="s">
        <v>566</v>
      </c>
      <c r="AM37" s="302"/>
      <c r="AS37" s="169">
        <f>-PMT($AT$10,Z35,T37)</f>
        <v>0.73706731754012533</v>
      </c>
      <c r="AT37" s="46">
        <f t="shared" si="10"/>
        <v>5000</v>
      </c>
      <c r="AU37" s="171">
        <f t="shared" si="6"/>
        <v>147.41346350802505</v>
      </c>
      <c r="AV37" s="171">
        <f t="shared" si="2"/>
        <v>0</v>
      </c>
      <c r="AW37" s="171">
        <f t="shared" si="3"/>
        <v>104.3</v>
      </c>
      <c r="AX37" s="171">
        <f t="array" aca="1" ref="AX37" ca="1">3.6*FuelPriceRAMSES!$X$53*INDEX(FuelPriceRAMSES!$R$33:$R$63,MATCH(RIGHT(INDIRECT("E"&amp;ROW()),2),RIGHT(FuelPriceRAMSES!$Q$33:$Q$63,2),0))</f>
        <v>228.03264000000001</v>
      </c>
      <c r="AY37" s="171">
        <f t="shared" si="4"/>
        <v>3.3333333333333335</v>
      </c>
      <c r="AZ37" s="318">
        <v>1.2</v>
      </c>
      <c r="BA37" s="171">
        <f>IF(O37=0,0,(AY37-(O37-K37)*AY37)/AZ37)</f>
        <v>1.3888888888888891</v>
      </c>
      <c r="BB37" s="171">
        <f t="shared" ca="1" si="11"/>
        <v>443.39680000000004</v>
      </c>
      <c r="BC37" s="258">
        <f t="shared" ca="1" si="9"/>
        <v>695.11026350802513</v>
      </c>
    </row>
    <row r="38" spans="1:55">
      <c r="A38" s="74"/>
      <c r="B38" s="74"/>
      <c r="C38" s="74"/>
      <c r="D38" s="75"/>
      <c r="E38" s="398" t="s">
        <v>551</v>
      </c>
      <c r="F38" s="74">
        <v>2050</v>
      </c>
      <c r="G38" s="74"/>
      <c r="H38" s="74"/>
      <c r="I38" s="74"/>
      <c r="J38" s="74"/>
      <c r="K38" s="156">
        <v>0.3</v>
      </c>
      <c r="L38" s="77"/>
      <c r="M38" s="77"/>
      <c r="O38" s="78">
        <f t="shared" si="12"/>
        <v>0.8</v>
      </c>
      <c r="P38" s="156">
        <v>0.6</v>
      </c>
      <c r="Q38" s="78">
        <f t="shared" si="13"/>
        <v>1.6666666666666667</v>
      </c>
      <c r="R38" s="78"/>
      <c r="S38" s="78"/>
      <c r="T38" s="84">
        <f>1*Euro</f>
        <v>7.45</v>
      </c>
      <c r="U38" s="79">
        <v>0</v>
      </c>
      <c r="V38" s="84">
        <f>13*Euro/3.6</f>
        <v>26.902777777777779</v>
      </c>
      <c r="W38" s="78"/>
      <c r="X38" s="78"/>
      <c r="Y38" s="78"/>
      <c r="Z38" s="81"/>
      <c r="AA38" s="305">
        <v>10</v>
      </c>
      <c r="AB38" s="305">
        <v>6</v>
      </c>
      <c r="AC38" s="305"/>
      <c r="AD38" s="79"/>
      <c r="AE38" s="79"/>
      <c r="AF38" s="305"/>
      <c r="AI38" s="46"/>
      <c r="AJ38" s="397" t="s">
        <v>565</v>
      </c>
      <c r="AK38" s="404">
        <v>42817</v>
      </c>
      <c r="AL38" s="405" t="s">
        <v>566</v>
      </c>
      <c r="AM38" s="302"/>
      <c r="AS38" s="169">
        <f>-PMT($AT$10,Z35,T38)</f>
        <v>0.67006119776375028</v>
      </c>
      <c r="AT38" s="46">
        <f t="shared" si="10"/>
        <v>5000</v>
      </c>
      <c r="AU38" s="171">
        <f t="shared" si="6"/>
        <v>134.01223955275006</v>
      </c>
      <c r="AV38" s="171">
        <f t="shared" si="2"/>
        <v>0</v>
      </c>
      <c r="AW38" s="171">
        <f t="shared" si="3"/>
        <v>96.85</v>
      </c>
      <c r="AX38" s="171">
        <f t="array" aca="1" ref="AX38" ca="1">3.6*FuelPriceRAMSES!$X$58*INDEX(FuelPriceRAMSES!$R$33:$R$63,MATCH(RIGHT(INDIRECT("E"&amp;ROW()),2),RIGHT(FuelPriceRAMSES!$Q$33:$Q$63,2),0))</f>
        <v>260.00640000000004</v>
      </c>
      <c r="AY38" s="171">
        <f t="shared" si="4"/>
        <v>3.3333333333333335</v>
      </c>
      <c r="AZ38" s="318">
        <v>1.2</v>
      </c>
      <c r="BA38" s="171">
        <f t="shared" si="7"/>
        <v>1.3888888888888891</v>
      </c>
      <c r="BB38" s="171">
        <f t="shared" ca="1" si="11"/>
        <v>505.5680000000001</v>
      </c>
      <c r="BC38" s="258">
        <f t="shared" ca="1" si="9"/>
        <v>736.43023955275021</v>
      </c>
    </row>
    <row r="39" spans="1:55">
      <c r="A39" s="74" t="s">
        <v>443</v>
      </c>
      <c r="B39" s="83" t="s">
        <v>146</v>
      </c>
      <c r="C39" s="74" t="s">
        <v>430</v>
      </c>
      <c r="D39" s="75" t="s">
        <v>26</v>
      </c>
      <c r="E39" s="398" t="s">
        <v>551</v>
      </c>
      <c r="F39" s="74">
        <v>2015</v>
      </c>
      <c r="G39" s="74">
        <v>2015</v>
      </c>
      <c r="H39" s="76">
        <v>100</v>
      </c>
      <c r="I39" s="74"/>
      <c r="J39" s="74"/>
      <c r="K39" s="156">
        <v>0.57999999999999996</v>
      </c>
      <c r="L39" s="77"/>
      <c r="M39" s="77"/>
      <c r="O39" s="78">
        <f>(K39+K39*R39)/(1+R39*S39)</f>
        <v>0.8464864864864865</v>
      </c>
      <c r="P39" s="156">
        <v>1.7</v>
      </c>
      <c r="Q39" s="78" t="s">
        <v>48</v>
      </c>
      <c r="R39" s="78">
        <f>1/P39</f>
        <v>0.58823529411764708</v>
      </c>
      <c r="S39" s="156">
        <v>0.15</v>
      </c>
      <c r="T39" s="84">
        <f>0.9*Euro</f>
        <v>6.7050000000000001</v>
      </c>
      <c r="U39" s="84">
        <f>30000*Euro/1000000</f>
        <v>0.2235</v>
      </c>
      <c r="V39" s="84">
        <f>4.5*Euro/3.6</f>
        <v>9.3125</v>
      </c>
      <c r="W39" s="78">
        <v>3.1536000000000002E-2</v>
      </c>
      <c r="X39" s="400">
        <v>0.94</v>
      </c>
      <c r="Y39" s="78">
        <v>1</v>
      </c>
      <c r="Z39" s="80">
        <v>25</v>
      </c>
      <c r="AA39" s="305">
        <v>20</v>
      </c>
      <c r="AB39" s="305">
        <v>1.5</v>
      </c>
      <c r="AC39" s="305">
        <v>1</v>
      </c>
      <c r="AD39" s="79"/>
      <c r="AE39" s="79"/>
      <c r="AF39" s="84">
        <v>2.5</v>
      </c>
      <c r="AI39" s="46"/>
      <c r="AJ39" s="397" t="s">
        <v>565</v>
      </c>
      <c r="AK39" s="404">
        <v>42817</v>
      </c>
      <c r="AL39" s="405" t="s">
        <v>566</v>
      </c>
      <c r="AM39" s="302"/>
      <c r="AS39" s="169">
        <f>-PMT($AT$10,Z39,T39)</f>
        <v>0.42920021048317814</v>
      </c>
      <c r="AT39" s="46">
        <f t="shared" si="10"/>
        <v>5000</v>
      </c>
      <c r="AU39" s="171">
        <f t="shared" si="6"/>
        <v>85.840042096635628</v>
      </c>
      <c r="AV39" s="171">
        <f t="shared" si="2"/>
        <v>44.7</v>
      </c>
      <c r="AW39" s="171">
        <f t="shared" si="3"/>
        <v>33.524999999999999</v>
      </c>
      <c r="AX39" s="171">
        <f t="array" aca="1" ref="AX39" ca="1">3.6*FuelPriceRAMSES!$X$38*INDEX(FuelPriceRAMSES!$R$33:$R$63,MATCH(RIGHT(INDIRECT("E"&amp;ROW()),2),RIGHT(FuelPriceRAMSES!$Q$33:$Q$63,2),0))</f>
        <v>100.43101642105255</v>
      </c>
      <c r="AY39" s="171">
        <f t="shared" si="4"/>
        <v>1.7241379310344829</v>
      </c>
      <c r="AZ39" s="318">
        <v>1.2</v>
      </c>
      <c r="BA39" s="171">
        <f t="shared" si="7"/>
        <v>1.0538987263125195</v>
      </c>
      <c r="BB39" s="171">
        <f t="shared" ca="1" si="11"/>
        <v>67.31280457546471</v>
      </c>
      <c r="BC39" s="258">
        <f t="shared" ca="1" si="9"/>
        <v>231.37784667210036</v>
      </c>
    </row>
    <row r="40" spans="1:55">
      <c r="A40" s="74"/>
      <c r="B40" s="74"/>
      <c r="C40" s="74"/>
      <c r="D40" s="75" t="s">
        <v>99</v>
      </c>
      <c r="E40" s="398" t="s">
        <v>551</v>
      </c>
      <c r="F40" s="74">
        <v>2020</v>
      </c>
      <c r="G40" s="74"/>
      <c r="H40" s="74"/>
      <c r="I40" s="74"/>
      <c r="J40" s="74"/>
      <c r="K40" s="156">
        <v>0.59</v>
      </c>
      <c r="L40" s="77"/>
      <c r="M40" s="77"/>
      <c r="O40" s="78">
        <f>(K40+K40*R40)/(1+R40*S40)</f>
        <v>0.84717948717948721</v>
      </c>
      <c r="P40" s="156">
        <v>1.8</v>
      </c>
      <c r="Q40" s="78" t="s">
        <v>48</v>
      </c>
      <c r="R40" s="78">
        <f>1/P40</f>
        <v>0.55555555555555558</v>
      </c>
      <c r="S40" s="156">
        <v>0.15</v>
      </c>
      <c r="T40" s="84">
        <f>0.88*Euro</f>
        <v>6.556</v>
      </c>
      <c r="U40" s="84">
        <f>29300*Euro/1000000</f>
        <v>0.21828500000000001</v>
      </c>
      <c r="V40" s="84">
        <f>4.4*Euro/3.6</f>
        <v>9.1055555555555561</v>
      </c>
      <c r="W40" s="78"/>
      <c r="X40" s="78"/>
      <c r="Y40" s="78"/>
      <c r="Z40" s="81"/>
      <c r="AA40" s="305">
        <v>15</v>
      </c>
      <c r="AB40" s="305">
        <v>1.5</v>
      </c>
      <c r="AC40" s="305">
        <v>1</v>
      </c>
      <c r="AD40" s="79"/>
      <c r="AE40" s="79"/>
      <c r="AF40" s="305"/>
      <c r="AI40" s="46"/>
      <c r="AJ40" s="397" t="s">
        <v>565</v>
      </c>
      <c r="AK40" s="404">
        <v>42817</v>
      </c>
      <c r="AL40" s="405" t="s">
        <v>566</v>
      </c>
      <c r="AM40" s="302"/>
      <c r="AS40" s="169">
        <f>-PMT($AT$10,Z39,T40)</f>
        <v>0.41966242802799641</v>
      </c>
      <c r="AT40" s="46">
        <f t="shared" si="10"/>
        <v>5000</v>
      </c>
      <c r="AU40" s="171">
        <f t="shared" si="6"/>
        <v>83.932485605599283</v>
      </c>
      <c r="AV40" s="171">
        <f t="shared" si="2"/>
        <v>43.656999999999996</v>
      </c>
      <c r="AW40" s="171">
        <f t="shared" si="3"/>
        <v>32.780000000000008</v>
      </c>
      <c r="AX40" s="171">
        <f t="array" aca="1" ref="AX40" ca="1">3.6*FuelPriceRAMSES!$X$43*INDEX(FuelPriceRAMSES!$R$33:$R$63,MATCH(RIGHT(INDIRECT("E"&amp;ROW()),2),RIGHT(FuelPriceRAMSES!$Q$33:$Q$63,2),0))</f>
        <v>137.73312000000001</v>
      </c>
      <c r="AY40" s="171">
        <f t="shared" si="4"/>
        <v>1.6949152542372883</v>
      </c>
      <c r="AZ40" s="318">
        <v>1.2</v>
      </c>
      <c r="BA40" s="171">
        <f t="shared" si="7"/>
        <v>1.0491815152832102</v>
      </c>
      <c r="BB40" s="171">
        <f t="shared" ca="1" si="11"/>
        <v>88.938922555410713</v>
      </c>
      <c r="BC40" s="258">
        <f t="shared" ca="1" si="9"/>
        <v>249.30840816100999</v>
      </c>
    </row>
    <row r="41" spans="1:55">
      <c r="A41" s="74"/>
      <c r="B41" s="74"/>
      <c r="C41" s="74"/>
      <c r="D41" s="75"/>
      <c r="E41" s="398" t="s">
        <v>551</v>
      </c>
      <c r="F41" s="74">
        <v>2030</v>
      </c>
      <c r="G41" s="74"/>
      <c r="H41" s="74"/>
      <c r="I41" s="74"/>
      <c r="J41" s="74"/>
      <c r="K41" s="156">
        <v>0.61</v>
      </c>
      <c r="L41" s="77"/>
      <c r="M41" s="77"/>
      <c r="O41" s="78">
        <f>(K41+K41*R41)/(1+R41*S41)</f>
        <v>0.85116279069767453</v>
      </c>
      <c r="P41" s="156">
        <v>2</v>
      </c>
      <c r="Q41" s="78" t="s">
        <v>48</v>
      </c>
      <c r="R41" s="78">
        <f>1/P41</f>
        <v>0.5</v>
      </c>
      <c r="S41" s="156">
        <v>0.15</v>
      </c>
      <c r="T41" s="84">
        <f>0.83*Euro</f>
        <v>6.1834999999999996</v>
      </c>
      <c r="U41" s="84">
        <f>27800*Euro/1000000</f>
        <v>0.20710999999999999</v>
      </c>
      <c r="V41" s="84">
        <f>4.2*Euro/3.6</f>
        <v>8.6916666666666664</v>
      </c>
      <c r="W41" s="78"/>
      <c r="X41" s="78"/>
      <c r="Y41" s="78"/>
      <c r="Z41" s="81"/>
      <c r="AA41" s="305">
        <v>10</v>
      </c>
      <c r="AB41" s="305">
        <v>1.5</v>
      </c>
      <c r="AC41" s="305">
        <v>1</v>
      </c>
      <c r="AD41" s="79"/>
      <c r="AE41" s="79"/>
      <c r="AF41" s="305"/>
      <c r="AI41" s="46"/>
      <c r="AJ41" s="397" t="s">
        <v>565</v>
      </c>
      <c r="AK41" s="404">
        <v>42817</v>
      </c>
      <c r="AL41" s="405" t="s">
        <v>566</v>
      </c>
      <c r="AM41" s="302"/>
      <c r="AS41" s="169">
        <f>-PMT($AT$10,Z39,T41)</f>
        <v>0.39581797189004198</v>
      </c>
      <c r="AT41" s="46">
        <f t="shared" si="10"/>
        <v>5000</v>
      </c>
      <c r="AU41" s="171">
        <f t="shared" si="6"/>
        <v>79.163594378008398</v>
      </c>
      <c r="AV41" s="171">
        <f t="shared" si="2"/>
        <v>41.421999999999997</v>
      </c>
      <c r="AW41" s="171">
        <f t="shared" si="3"/>
        <v>31.29</v>
      </c>
      <c r="AX41" s="171">
        <f t="array" aca="1" ref="AX41" ca="1">3.6*FuelPriceRAMSES!$X$53*INDEX(FuelPriceRAMSES!$R$33:$R$63,MATCH(RIGHT(INDIRECT("E"&amp;ROW()),2),RIGHT(FuelPriceRAMSES!$Q$33:$Q$63,2),0))</f>
        <v>228.03264000000001</v>
      </c>
      <c r="AY41" s="171">
        <f t="shared" si="4"/>
        <v>1.639344262295082</v>
      </c>
      <c r="AZ41" s="318">
        <v>1.2</v>
      </c>
      <c r="BA41" s="171">
        <f t="shared" si="7"/>
        <v>1.0366628542381495</v>
      </c>
      <c r="BB41" s="171">
        <f t="shared" ca="1" si="11"/>
        <v>137.43103255813961</v>
      </c>
      <c r="BC41" s="258">
        <f t="shared" ca="1" si="9"/>
        <v>289.30662693614801</v>
      </c>
    </row>
    <row r="42" spans="1:55">
      <c r="A42" s="74"/>
      <c r="B42" s="74"/>
      <c r="C42" s="74"/>
      <c r="D42" s="75"/>
      <c r="E42" s="398" t="s">
        <v>551</v>
      </c>
      <c r="F42" s="74">
        <v>2050</v>
      </c>
      <c r="G42" s="74"/>
      <c r="H42" s="74"/>
      <c r="I42" s="74"/>
      <c r="J42" s="74"/>
      <c r="K42" s="156">
        <v>0.63</v>
      </c>
      <c r="L42" s="77"/>
      <c r="M42" s="77"/>
      <c r="O42" s="78">
        <f>(K42+K42*R42)/(1+R42*S42)</f>
        <v>0.85787234042553195</v>
      </c>
      <c r="P42" s="156">
        <v>2.2000000000000002</v>
      </c>
      <c r="Q42" s="78" t="s">
        <v>48</v>
      </c>
      <c r="R42" s="78">
        <f>1/P42</f>
        <v>0.45454545454545453</v>
      </c>
      <c r="S42" s="156">
        <v>0.15</v>
      </c>
      <c r="T42" s="84">
        <f>0.8*Euro</f>
        <v>5.9600000000000009</v>
      </c>
      <c r="U42" s="84">
        <f>26000*Euro/1000000</f>
        <v>0.19370000000000001</v>
      </c>
      <c r="V42" s="84">
        <f>4*Euro/3.6</f>
        <v>8.2777777777777786</v>
      </c>
      <c r="W42" s="78"/>
      <c r="X42" s="78"/>
      <c r="Y42" s="78"/>
      <c r="Z42" s="81"/>
      <c r="AA42" s="305">
        <v>8</v>
      </c>
      <c r="AB42" s="305">
        <v>1.5</v>
      </c>
      <c r="AC42" s="305">
        <v>1</v>
      </c>
      <c r="AD42" s="79"/>
      <c r="AE42" s="79"/>
      <c r="AF42" s="305"/>
      <c r="AI42" s="46"/>
      <c r="AJ42" s="397" t="s">
        <v>565</v>
      </c>
      <c r="AK42" s="404">
        <v>42817</v>
      </c>
      <c r="AL42" s="405" t="s">
        <v>566</v>
      </c>
      <c r="AM42" s="302"/>
      <c r="AS42" s="169">
        <f>-PMT($AT$10,Z39,T42)</f>
        <v>0.38151129820726953</v>
      </c>
      <c r="AT42" s="46">
        <f t="shared" si="10"/>
        <v>5000</v>
      </c>
      <c r="AU42" s="171">
        <f t="shared" si="6"/>
        <v>76.302259641453901</v>
      </c>
      <c r="AV42" s="171">
        <f t="shared" si="2"/>
        <v>38.74</v>
      </c>
      <c r="AW42" s="171">
        <f t="shared" si="3"/>
        <v>29.800000000000008</v>
      </c>
      <c r="AX42" s="171">
        <f t="array" aca="1" ref="AX42" ca="1">3.6*FuelPriceRAMSES!$X$58*INDEX(FuelPriceRAMSES!$R$33:$R$63,MATCH(RIGHT(INDIRECT("E"&amp;ROW()),2),RIGHT(FuelPriceRAMSES!$Q$33:$Q$63,2),0))</f>
        <v>260.00640000000004</v>
      </c>
      <c r="AY42" s="171">
        <f t="shared" si="4"/>
        <v>1.5873015873015872</v>
      </c>
      <c r="AZ42" s="318">
        <v>1.2</v>
      </c>
      <c r="BA42" s="171">
        <f t="shared" si="7"/>
        <v>1.0213328830350108</v>
      </c>
      <c r="BB42" s="171">
        <f t="shared" ca="1" si="11"/>
        <v>147.15548530901719</v>
      </c>
      <c r="BC42" s="258">
        <f t="shared" ca="1" si="9"/>
        <v>291.99774495047109</v>
      </c>
    </row>
    <row r="43" spans="1:55">
      <c r="A43" s="395" t="s">
        <v>444</v>
      </c>
      <c r="B43" s="83" t="s">
        <v>206</v>
      </c>
      <c r="C43" s="74" t="s">
        <v>430</v>
      </c>
      <c r="D43" s="75" t="s">
        <v>26</v>
      </c>
      <c r="E43" s="398" t="s">
        <v>551</v>
      </c>
      <c r="F43" s="74">
        <v>2015</v>
      </c>
      <c r="G43" s="74">
        <v>2015</v>
      </c>
      <c r="H43" s="76">
        <v>10</v>
      </c>
      <c r="I43" s="74"/>
      <c r="J43" s="74"/>
      <c r="K43" s="156">
        <v>0.5</v>
      </c>
      <c r="L43" s="77"/>
      <c r="M43" s="77"/>
      <c r="O43" s="78">
        <f t="shared" ref="O43:O86" si="14">(K43+K43*Q43)/(1+Q43*S43)</f>
        <v>0.91666666666666674</v>
      </c>
      <c r="P43" s="156">
        <v>1.2</v>
      </c>
      <c r="Q43" s="78">
        <f t="shared" ref="Q43:Q86" si="15">1/P43</f>
        <v>0.83333333333333337</v>
      </c>
      <c r="R43" s="78"/>
      <c r="S43" s="78"/>
      <c r="T43" s="84">
        <f>1.3*Euro</f>
        <v>9.6850000000000005</v>
      </c>
      <c r="U43" s="84">
        <f>30000*Euro/1000000</f>
        <v>0.2235</v>
      </c>
      <c r="V43" s="84">
        <f>4.5*Euro/3.6</f>
        <v>9.3125</v>
      </c>
      <c r="W43" s="78">
        <v>3.1536000000000002E-2</v>
      </c>
      <c r="X43" s="400">
        <v>0.94</v>
      </c>
      <c r="Y43" s="78">
        <v>1</v>
      </c>
      <c r="Z43" s="80">
        <v>25</v>
      </c>
      <c r="AA43" s="305">
        <v>20</v>
      </c>
      <c r="AB43" s="305">
        <v>1.5</v>
      </c>
      <c r="AC43" s="79">
        <v>1</v>
      </c>
      <c r="AD43" s="79"/>
      <c r="AE43" s="79"/>
      <c r="AF43" s="84">
        <v>2.5</v>
      </c>
      <c r="AI43" s="46"/>
      <c r="AJ43" s="397" t="s">
        <v>565</v>
      </c>
      <c r="AK43" s="404">
        <v>42817</v>
      </c>
      <c r="AL43" s="405" t="s">
        <v>566</v>
      </c>
      <c r="AM43" s="302"/>
      <c r="AS43" s="169">
        <f>-PMT($AT$10,Z43,T43)</f>
        <v>0.61995585958681287</v>
      </c>
      <c r="AT43" s="46">
        <f t="shared" si="10"/>
        <v>5000</v>
      </c>
      <c r="AU43" s="171">
        <f t="shared" si="6"/>
        <v>123.99117191736259</v>
      </c>
      <c r="AV43" s="171">
        <f t="shared" si="2"/>
        <v>44.7</v>
      </c>
      <c r="AW43" s="171">
        <f t="shared" si="3"/>
        <v>33.524999999999999</v>
      </c>
      <c r="AX43" s="171">
        <f t="array" aca="1" ref="AX43" ca="1">3.6*FuelPriceRAMSES!$X$38*INDEX(FuelPriceRAMSES!$R$33:$R$63,MATCH(RIGHT(INDIRECT("E"&amp;ROW()),2),RIGHT(FuelPriceRAMSES!$Q$33:$Q$63,2),0))</f>
        <v>100.43101642105255</v>
      </c>
      <c r="AY43" s="171">
        <f t="shared" si="4"/>
        <v>2</v>
      </c>
      <c r="AZ43" s="318">
        <v>1.2</v>
      </c>
      <c r="BA43" s="171">
        <f t="shared" si="7"/>
        <v>0.9722222222222221</v>
      </c>
      <c r="BB43" s="171">
        <f t="shared" ca="1" si="11"/>
        <v>103.22076687719291</v>
      </c>
      <c r="BC43" s="258">
        <f t="shared" ca="1" si="9"/>
        <v>305.43693879455554</v>
      </c>
    </row>
    <row r="44" spans="1:55">
      <c r="A44" s="74"/>
      <c r="B44" s="74"/>
      <c r="C44" s="74"/>
      <c r="D44" s="75" t="s">
        <v>99</v>
      </c>
      <c r="E44" s="398" t="s">
        <v>551</v>
      </c>
      <c r="F44" s="74">
        <v>2020</v>
      </c>
      <c r="G44" s="74"/>
      <c r="H44" s="74"/>
      <c r="I44" s="74"/>
      <c r="J44" s="74"/>
      <c r="K44" s="156">
        <v>0.51</v>
      </c>
      <c r="L44" s="77"/>
      <c r="M44" s="77"/>
      <c r="O44" s="78">
        <f t="shared" si="14"/>
        <v>0.90230769230769226</v>
      </c>
      <c r="P44" s="156">
        <v>1.3</v>
      </c>
      <c r="Q44" s="78">
        <f t="shared" si="15"/>
        <v>0.76923076923076916</v>
      </c>
      <c r="R44" s="78"/>
      <c r="S44" s="78"/>
      <c r="T44" s="84">
        <f>1.3*Euro</f>
        <v>9.6850000000000005</v>
      </c>
      <c r="U44" s="84">
        <f>29300*Euro/1000000</f>
        <v>0.21828500000000001</v>
      </c>
      <c r="V44" s="84">
        <f>4.4*Euro/3.6</f>
        <v>9.1055555555555561</v>
      </c>
      <c r="W44" s="78"/>
      <c r="X44" s="78"/>
      <c r="Y44" s="78"/>
      <c r="Z44" s="81"/>
      <c r="AA44" s="305">
        <v>15</v>
      </c>
      <c r="AB44" s="305">
        <v>1.5</v>
      </c>
      <c r="AC44" s="79">
        <v>1</v>
      </c>
      <c r="AD44" s="79"/>
      <c r="AE44" s="79"/>
      <c r="AF44" s="84">
        <v>2</v>
      </c>
      <c r="AI44" s="46"/>
      <c r="AJ44" s="397" t="s">
        <v>565</v>
      </c>
      <c r="AK44" s="404">
        <v>42817</v>
      </c>
      <c r="AL44" s="405" t="s">
        <v>566</v>
      </c>
      <c r="AM44" s="302"/>
      <c r="AS44" s="169">
        <f>-PMT($AT$10,Z43,T44)</f>
        <v>0.61995585958681287</v>
      </c>
      <c r="AT44" s="46">
        <f t="shared" si="10"/>
        <v>5000</v>
      </c>
      <c r="AU44" s="171">
        <f t="shared" si="6"/>
        <v>123.99117191736259</v>
      </c>
      <c r="AV44" s="171">
        <f t="shared" si="2"/>
        <v>43.656999999999996</v>
      </c>
      <c r="AW44" s="171">
        <f t="shared" si="3"/>
        <v>32.780000000000008</v>
      </c>
      <c r="AX44" s="171">
        <f t="array" aca="1" ref="AX44" ca="1">3.6*FuelPriceRAMSES!$X$43*INDEX(FuelPriceRAMSES!$R$33:$R$63,MATCH(RIGHT(INDIRECT("E"&amp;ROW()),2),RIGHT(FuelPriceRAMSES!$Q$33:$Q$63,2),0))</f>
        <v>137.73312000000001</v>
      </c>
      <c r="AY44" s="171">
        <f t="shared" si="4"/>
        <v>1.9607843137254901</v>
      </c>
      <c r="AZ44" s="318">
        <v>1.2</v>
      </c>
      <c r="BA44" s="171">
        <f t="shared" si="7"/>
        <v>0.99296128707893438</v>
      </c>
      <c r="BB44" s="171">
        <f t="shared" ca="1" si="11"/>
        <v>133.30128506787327</v>
      </c>
      <c r="BC44" s="258">
        <f t="shared" ca="1" si="9"/>
        <v>333.72945698523586</v>
      </c>
    </row>
    <row r="45" spans="1:55">
      <c r="A45" s="74"/>
      <c r="B45" s="74"/>
      <c r="C45" s="74"/>
      <c r="D45" s="75"/>
      <c r="E45" s="398" t="s">
        <v>551</v>
      </c>
      <c r="F45" s="74">
        <v>2030</v>
      </c>
      <c r="G45" s="74"/>
      <c r="H45" s="74"/>
      <c r="I45" s="74"/>
      <c r="J45" s="74"/>
      <c r="K45" s="156">
        <v>0.53</v>
      </c>
      <c r="L45" s="77"/>
      <c r="M45" s="77"/>
      <c r="O45" s="78">
        <f t="shared" si="14"/>
        <v>0.90857142857142859</v>
      </c>
      <c r="P45" s="156">
        <v>1.4</v>
      </c>
      <c r="Q45" s="78">
        <f t="shared" si="15"/>
        <v>0.7142857142857143</v>
      </c>
      <c r="R45" s="78"/>
      <c r="S45" s="78"/>
      <c r="T45" s="84">
        <f>1.2*Euro</f>
        <v>8.94</v>
      </c>
      <c r="U45" s="84">
        <f>27800*Euro/1000000</f>
        <v>0.20710999999999999</v>
      </c>
      <c r="V45" s="84">
        <f>4.2*Euro/3.6</f>
        <v>8.6916666666666664</v>
      </c>
      <c r="W45" s="78"/>
      <c r="X45" s="78"/>
      <c r="Y45" s="78"/>
      <c r="Z45" s="81"/>
      <c r="AA45" s="305">
        <v>10</v>
      </c>
      <c r="AB45" s="305">
        <v>1.5</v>
      </c>
      <c r="AC45" s="79">
        <v>1</v>
      </c>
      <c r="AD45" s="79"/>
      <c r="AE45" s="79"/>
      <c r="AF45" s="84">
        <v>2</v>
      </c>
      <c r="AI45" s="46"/>
      <c r="AJ45" s="397" t="s">
        <v>565</v>
      </c>
      <c r="AK45" s="404">
        <v>42817</v>
      </c>
      <c r="AL45" s="405" t="s">
        <v>566</v>
      </c>
      <c r="AM45" s="302"/>
      <c r="AS45" s="169">
        <f>-PMT($AT$10,Z43,T45)</f>
        <v>0.57226694731090411</v>
      </c>
      <c r="AT45" s="46">
        <f t="shared" si="10"/>
        <v>5000</v>
      </c>
      <c r="AU45" s="171">
        <f t="shared" si="6"/>
        <v>114.45338946218082</v>
      </c>
      <c r="AV45" s="171">
        <f t="shared" si="2"/>
        <v>41.421999999999997</v>
      </c>
      <c r="AW45" s="171">
        <f t="shared" si="3"/>
        <v>31.29</v>
      </c>
      <c r="AX45" s="171">
        <f t="array" aca="1" ref="AX45" ca="1">3.6*FuelPriceRAMSES!$X$53*INDEX(FuelPriceRAMSES!$R$33:$R$63,MATCH(RIGHT(INDIRECT("E"&amp;ROW()),2),RIGHT(FuelPriceRAMSES!$Q$33:$Q$63,2),0))</f>
        <v>228.03264000000001</v>
      </c>
      <c r="AY45" s="171">
        <f t="shared" si="4"/>
        <v>1.8867924528301885</v>
      </c>
      <c r="AZ45" s="318">
        <v>1.2</v>
      </c>
      <c r="BA45" s="171">
        <f t="shared" si="7"/>
        <v>0.97708894878706198</v>
      </c>
      <c r="BB45" s="171">
        <f t="shared" ca="1" si="11"/>
        <v>207.44209164420482</v>
      </c>
      <c r="BC45" s="258">
        <f t="shared" ca="1" si="9"/>
        <v>394.60748110638565</v>
      </c>
    </row>
    <row r="46" spans="1:55">
      <c r="A46" s="74"/>
      <c r="B46" s="74"/>
      <c r="C46" s="74"/>
      <c r="D46" s="75"/>
      <c r="E46" s="398" t="s">
        <v>551</v>
      </c>
      <c r="F46" s="74">
        <v>2050</v>
      </c>
      <c r="G46" s="74"/>
      <c r="H46" s="74"/>
      <c r="I46" s="74"/>
      <c r="J46" s="74"/>
      <c r="K46" s="156">
        <v>0.55000000000000004</v>
      </c>
      <c r="L46" s="77"/>
      <c r="M46" s="77"/>
      <c r="O46" s="78">
        <f t="shared" si="14"/>
        <v>0.90483870967741942</v>
      </c>
      <c r="P46" s="156">
        <v>1.55</v>
      </c>
      <c r="Q46" s="78">
        <f t="shared" si="15"/>
        <v>0.64516129032258063</v>
      </c>
      <c r="R46" s="78"/>
      <c r="S46" s="78"/>
      <c r="T46" s="84">
        <f>1.1*Euro</f>
        <v>8.1950000000000003</v>
      </c>
      <c r="U46" s="84">
        <f>26000*Euro/1000000</f>
        <v>0.19370000000000001</v>
      </c>
      <c r="V46" s="84">
        <f>4*Euro/3.6</f>
        <v>8.2777777777777786</v>
      </c>
      <c r="W46" s="78"/>
      <c r="X46" s="78"/>
      <c r="Y46" s="78"/>
      <c r="Z46" s="81"/>
      <c r="AA46" s="305">
        <v>8</v>
      </c>
      <c r="AB46" s="305">
        <v>1.5</v>
      </c>
      <c r="AC46" s="79">
        <v>1</v>
      </c>
      <c r="AD46" s="79"/>
      <c r="AE46" s="79"/>
      <c r="AF46" s="84">
        <v>2</v>
      </c>
      <c r="AI46" s="46"/>
      <c r="AJ46" s="397" t="s">
        <v>565</v>
      </c>
      <c r="AK46" s="404">
        <v>42817</v>
      </c>
      <c r="AL46" s="405" t="s">
        <v>566</v>
      </c>
      <c r="AM46" s="302"/>
      <c r="AS46" s="169">
        <f>-PMT($AT$10,Z43,T46)</f>
        <v>0.52457803503499545</v>
      </c>
      <c r="AT46" s="46">
        <f t="shared" si="10"/>
        <v>5000</v>
      </c>
      <c r="AU46" s="171">
        <f t="shared" si="6"/>
        <v>104.91560700699908</v>
      </c>
      <c r="AV46" s="171">
        <f t="shared" si="2"/>
        <v>38.74</v>
      </c>
      <c r="AW46" s="171">
        <f t="shared" si="3"/>
        <v>29.800000000000008</v>
      </c>
      <c r="AX46" s="171">
        <f t="array" aca="1" ref="AX46" ca="1">3.6*FuelPriceRAMSES!$X$58*INDEX(FuelPriceRAMSES!$R$33:$R$63,MATCH(RIGHT(INDIRECT("E"&amp;ROW()),2),RIGHT(FuelPriceRAMSES!$Q$33:$Q$63,2),0))</f>
        <v>260.00640000000004</v>
      </c>
      <c r="AY46" s="171">
        <f t="shared" si="4"/>
        <v>1.8181818181818181</v>
      </c>
      <c r="AZ46" s="318">
        <v>1.2</v>
      </c>
      <c r="BA46" s="171">
        <f t="shared" si="7"/>
        <v>0.97751710654936452</v>
      </c>
      <c r="BB46" s="171">
        <f t="shared" ca="1" si="11"/>
        <v>218.57820527859241</v>
      </c>
      <c r="BC46" s="258">
        <f t="shared" ca="1" si="9"/>
        <v>392.03381228559147</v>
      </c>
    </row>
    <row r="47" spans="1:55">
      <c r="A47" s="74" t="s">
        <v>445</v>
      </c>
      <c r="B47" s="83" t="s">
        <v>147</v>
      </c>
      <c r="C47" s="74" t="s">
        <v>430</v>
      </c>
      <c r="D47" s="75" t="s">
        <v>26</v>
      </c>
      <c r="E47" s="398" t="s">
        <v>551</v>
      </c>
      <c r="F47" s="74">
        <v>2015</v>
      </c>
      <c r="G47" s="74">
        <v>2015</v>
      </c>
      <c r="H47" s="76">
        <v>1</v>
      </c>
      <c r="I47" s="74"/>
      <c r="J47" s="74"/>
      <c r="K47" s="156">
        <v>0.46</v>
      </c>
      <c r="L47" s="77"/>
      <c r="M47" s="77"/>
      <c r="O47" s="78">
        <f t="shared" si="14"/>
        <v>0.97111111111111126</v>
      </c>
      <c r="P47" s="156">
        <v>0.9</v>
      </c>
      <c r="Q47" s="78">
        <f t="shared" si="15"/>
        <v>1.1111111111111112</v>
      </c>
      <c r="R47" s="78"/>
      <c r="S47" s="78"/>
      <c r="T47" s="84">
        <f>1*Euro</f>
        <v>7.45</v>
      </c>
      <c r="U47" s="84">
        <f>10000*Euro/1000000</f>
        <v>7.4499999999999997E-2</v>
      </c>
      <c r="V47" s="84">
        <f>5.4*Euro/3.6</f>
        <v>11.175000000000001</v>
      </c>
      <c r="W47" s="78">
        <v>3.1536000000000002E-2</v>
      </c>
      <c r="X47" s="400">
        <v>0.95</v>
      </c>
      <c r="Y47" s="78">
        <v>1</v>
      </c>
      <c r="Z47" s="80">
        <v>25</v>
      </c>
      <c r="AA47" s="305">
        <v>75</v>
      </c>
      <c r="AB47" s="305">
        <v>315</v>
      </c>
      <c r="AC47" s="79">
        <v>0.6</v>
      </c>
      <c r="AD47" s="79"/>
      <c r="AE47" s="79"/>
      <c r="AF47" s="84">
        <v>1</v>
      </c>
      <c r="AI47" s="46"/>
      <c r="AJ47" s="397" t="s">
        <v>565</v>
      </c>
      <c r="AK47" s="404">
        <v>42817</v>
      </c>
      <c r="AL47" s="405" t="s">
        <v>566</v>
      </c>
      <c r="AM47" s="302"/>
      <c r="AS47" s="169">
        <f>-PMT($AT$10,Z47,T47)</f>
        <v>0.47688912275908685</v>
      </c>
      <c r="AT47" s="46">
        <f t="shared" si="10"/>
        <v>5000</v>
      </c>
      <c r="AU47" s="171">
        <f t="shared" si="6"/>
        <v>95.377824551817369</v>
      </c>
      <c r="AV47" s="171">
        <f t="shared" ref="AV47:AV98" si="16">U47/AT47*(1000000)</f>
        <v>14.9</v>
      </c>
      <c r="AW47" s="171">
        <f t="shared" ref="AW47:AW98" si="17">V47*1000*3.6/1000</f>
        <v>40.229999999999997</v>
      </c>
      <c r="AX47" s="171">
        <f t="array" aca="1" ref="AX47" ca="1">3.6*FuelPriceRAMSES!$X$38*INDEX(FuelPriceRAMSES!$R$33:$R$63,MATCH(RIGHT(INDIRECT("E"&amp;ROW()),2),RIGHT(FuelPriceRAMSES!$Q$33:$Q$63,2),0))</f>
        <v>100.43101642105255</v>
      </c>
      <c r="AY47" s="171">
        <f t="shared" ref="AY47:AY95" si="18">1/K47</f>
        <v>2.1739130434782608</v>
      </c>
      <c r="AZ47" s="318">
        <v>1.2</v>
      </c>
      <c r="BA47" s="171">
        <f t="shared" si="7"/>
        <v>0.88566827697262451</v>
      </c>
      <c r="BB47" s="171">
        <f t="shared" ca="1" si="11"/>
        <v>129.37973129926255</v>
      </c>
      <c r="BC47" s="258">
        <f t="shared" ca="1" si="9"/>
        <v>279.88755585107992</v>
      </c>
    </row>
    <row r="48" spans="1:55">
      <c r="A48" s="74"/>
      <c r="B48" s="74"/>
      <c r="C48" s="74"/>
      <c r="D48" s="75" t="s">
        <v>99</v>
      </c>
      <c r="E48" s="398" t="s">
        <v>551</v>
      </c>
      <c r="F48" s="74">
        <v>2020</v>
      </c>
      <c r="G48" s="74"/>
      <c r="H48" s="74"/>
      <c r="I48" s="74"/>
      <c r="J48" s="74"/>
      <c r="K48" s="156">
        <v>0.47</v>
      </c>
      <c r="L48" s="77"/>
      <c r="M48" s="77"/>
      <c r="O48" s="78">
        <f t="shared" si="14"/>
        <v>0.96473684210526311</v>
      </c>
      <c r="P48" s="156">
        <v>0.95</v>
      </c>
      <c r="Q48" s="78">
        <f t="shared" si="15"/>
        <v>1.0526315789473684</v>
      </c>
      <c r="R48" s="78"/>
      <c r="S48" s="78"/>
      <c r="T48" s="84">
        <f>0.95*Euro</f>
        <v>7.0774999999999997</v>
      </c>
      <c r="U48" s="84">
        <f>9750*Euro/1000000</f>
        <v>7.2637499999999994E-2</v>
      </c>
      <c r="V48" s="84">
        <f>5.4*Euro/3.6</f>
        <v>11.175000000000001</v>
      </c>
      <c r="W48" s="78"/>
      <c r="X48" s="78"/>
      <c r="Y48" s="78"/>
      <c r="Z48" s="81"/>
      <c r="AA48" s="305">
        <v>60</v>
      </c>
      <c r="AB48" s="305">
        <v>315</v>
      </c>
      <c r="AC48" s="79">
        <v>0.6</v>
      </c>
      <c r="AD48" s="79"/>
      <c r="AE48" s="79"/>
      <c r="AF48" s="305"/>
      <c r="AI48" s="46"/>
      <c r="AJ48" s="397" t="s">
        <v>565</v>
      </c>
      <c r="AK48" s="404">
        <v>42817</v>
      </c>
      <c r="AL48" s="405" t="s">
        <v>566</v>
      </c>
      <c r="AM48" s="302"/>
      <c r="AS48" s="169">
        <f>-PMT($AT$10,Z47,T48)</f>
        <v>0.45304466662113241</v>
      </c>
      <c r="AT48" s="46">
        <f t="shared" si="10"/>
        <v>5000</v>
      </c>
      <c r="AU48" s="171">
        <f t="shared" si="6"/>
        <v>90.608933324226484</v>
      </c>
      <c r="AV48" s="171">
        <f t="shared" si="16"/>
        <v>14.5275</v>
      </c>
      <c r="AW48" s="171">
        <f t="shared" si="17"/>
        <v>40.229999999999997</v>
      </c>
      <c r="AX48" s="171">
        <f t="array" aca="1" ref="AX48" ca="1">3.6*FuelPriceRAMSES!$X$43*INDEX(FuelPriceRAMSES!$R$33:$R$63,MATCH(RIGHT(INDIRECT("E"&amp;ROW()),2),RIGHT(FuelPriceRAMSES!$Q$33:$Q$63,2),0))</f>
        <v>137.73312000000001</v>
      </c>
      <c r="AY48" s="171">
        <f t="shared" si="18"/>
        <v>2.1276595744680851</v>
      </c>
      <c r="AZ48" s="318">
        <v>1.2</v>
      </c>
      <c r="BA48" s="171">
        <f t="shared" si="7"/>
        <v>0.89585666293393063</v>
      </c>
      <c r="BB48" s="171">
        <f t="shared" ca="1" si="11"/>
        <v>169.66005823068309</v>
      </c>
      <c r="BC48" s="258">
        <f t="shared" ca="1" si="9"/>
        <v>315.02649155490957</v>
      </c>
    </row>
    <row r="49" spans="1:55">
      <c r="A49" s="74"/>
      <c r="B49" s="74"/>
      <c r="C49" s="74"/>
      <c r="D49" s="75"/>
      <c r="E49" s="398" t="s">
        <v>551</v>
      </c>
      <c r="F49" s="74">
        <v>2030</v>
      </c>
      <c r="G49" s="74"/>
      <c r="H49" s="74"/>
      <c r="I49" s="74"/>
      <c r="J49" s="74"/>
      <c r="K49" s="156">
        <v>0.48</v>
      </c>
      <c r="L49" s="77"/>
      <c r="M49" s="77"/>
      <c r="O49" s="78">
        <f t="shared" si="14"/>
        <v>0.96484848484848484</v>
      </c>
      <c r="P49" s="156">
        <v>0.99</v>
      </c>
      <c r="Q49" s="78">
        <f t="shared" si="15"/>
        <v>1.0101010101010102</v>
      </c>
      <c r="R49" s="78"/>
      <c r="S49" s="78"/>
      <c r="T49" s="84">
        <f>0.9*Euro</f>
        <v>6.7050000000000001</v>
      </c>
      <c r="U49" s="84">
        <f>9300*Euro/1000000</f>
        <v>6.9284999999999999E-2</v>
      </c>
      <c r="V49" s="84">
        <f>5.1*Euro/3.6</f>
        <v>10.554166666666665</v>
      </c>
      <c r="W49" s="78"/>
      <c r="X49" s="78"/>
      <c r="Y49" s="78"/>
      <c r="Z49" s="81"/>
      <c r="AA49" s="305">
        <v>60</v>
      </c>
      <c r="AB49" s="305">
        <v>280</v>
      </c>
      <c r="AC49" s="79">
        <v>0.6</v>
      </c>
      <c r="AD49" s="79"/>
      <c r="AE49" s="79"/>
      <c r="AF49" s="305"/>
      <c r="AI49" s="46"/>
      <c r="AJ49" s="397" t="s">
        <v>565</v>
      </c>
      <c r="AK49" s="404">
        <v>42817</v>
      </c>
      <c r="AL49" s="405" t="s">
        <v>566</v>
      </c>
      <c r="AM49" s="302"/>
      <c r="AS49" s="169">
        <f>-PMT($AT$10,Z47,T49)</f>
        <v>0.42920021048317814</v>
      </c>
      <c r="AT49" s="46">
        <f t="shared" si="10"/>
        <v>5000</v>
      </c>
      <c r="AU49" s="171">
        <f t="shared" si="6"/>
        <v>85.840042096635628</v>
      </c>
      <c r="AV49" s="171">
        <f t="shared" si="16"/>
        <v>13.856999999999999</v>
      </c>
      <c r="AW49" s="171">
        <f t="shared" si="17"/>
        <v>37.994999999999997</v>
      </c>
      <c r="AX49" s="171">
        <f t="array" aca="1" ref="AX49" ca="1">3.6*FuelPriceRAMSES!$X$53*INDEX(FuelPriceRAMSES!$R$33:$R$63,MATCH(RIGHT(INDIRECT("E"&amp;ROW()),2),RIGHT(FuelPriceRAMSES!$Q$33:$Q$63,2),0))</f>
        <v>228.03264000000001</v>
      </c>
      <c r="AY49" s="171">
        <f t="shared" si="18"/>
        <v>2.0833333333333335</v>
      </c>
      <c r="AZ49" s="318">
        <v>1.2</v>
      </c>
      <c r="BA49" s="171">
        <f t="shared" si="7"/>
        <v>0.89436026936026947</v>
      </c>
      <c r="BB49" s="171">
        <f t="shared" ca="1" si="11"/>
        <v>271.12466666666671</v>
      </c>
      <c r="BC49" s="258">
        <f t="shared" ca="1" si="9"/>
        <v>408.81670876330236</v>
      </c>
    </row>
    <row r="50" spans="1:55">
      <c r="A50" s="74"/>
      <c r="B50" s="74"/>
      <c r="C50" s="74"/>
      <c r="D50" s="75"/>
      <c r="E50" s="398" t="s">
        <v>551</v>
      </c>
      <c r="F50" s="74">
        <v>2050</v>
      </c>
      <c r="G50" s="74"/>
      <c r="H50" s="74"/>
      <c r="I50" s="74"/>
      <c r="J50" s="74"/>
      <c r="K50" s="156">
        <v>0.5</v>
      </c>
      <c r="L50" s="77"/>
      <c r="M50" s="77"/>
      <c r="O50" s="78">
        <f t="shared" si="14"/>
        <v>0.98076923076923073</v>
      </c>
      <c r="P50" s="156">
        <v>1.04</v>
      </c>
      <c r="Q50" s="78">
        <f t="shared" si="15"/>
        <v>0.96153846153846145</v>
      </c>
      <c r="R50" s="78"/>
      <c r="S50" s="78"/>
      <c r="T50" s="84">
        <f>0.85*Euro</f>
        <v>6.3324999999999996</v>
      </c>
      <c r="U50" s="84">
        <f>8500*Euro/1000000</f>
        <v>6.3325000000000006E-2</v>
      </c>
      <c r="V50" s="84">
        <f>4.9*Euro/3.6</f>
        <v>10.140277777777778</v>
      </c>
      <c r="W50" s="78"/>
      <c r="X50" s="78"/>
      <c r="Y50" s="78"/>
      <c r="Z50" s="81"/>
      <c r="AA50" s="305">
        <v>60</v>
      </c>
      <c r="AB50" s="305">
        <v>250</v>
      </c>
      <c r="AC50" s="79">
        <v>0.6</v>
      </c>
      <c r="AD50" s="79"/>
      <c r="AE50" s="79"/>
      <c r="AF50" s="305"/>
      <c r="AI50" s="46"/>
      <c r="AJ50" s="397" t="s">
        <v>565</v>
      </c>
      <c r="AK50" s="404">
        <v>42817</v>
      </c>
      <c r="AL50" s="405" t="s">
        <v>566</v>
      </c>
      <c r="AM50" s="302"/>
      <c r="AS50" s="169">
        <f>-PMT($AT$10,Z47,T50)</f>
        <v>0.40535575434522381</v>
      </c>
      <c r="AT50" s="46">
        <f t="shared" si="10"/>
        <v>5000</v>
      </c>
      <c r="AU50" s="171">
        <f t="shared" si="6"/>
        <v>81.071150869044772</v>
      </c>
      <c r="AV50" s="171">
        <f t="shared" si="16"/>
        <v>12.665000000000001</v>
      </c>
      <c r="AW50" s="171">
        <f t="shared" si="17"/>
        <v>36.505000000000003</v>
      </c>
      <c r="AX50" s="171">
        <f t="array" aca="1" ref="AX50" ca="1">3.6*FuelPriceRAMSES!$X$58*INDEX(FuelPriceRAMSES!$R$33:$R$63,MATCH(RIGHT(INDIRECT("E"&amp;ROW()),2),RIGHT(FuelPriceRAMSES!$Q$33:$Q$63,2),0))</f>
        <v>260.00640000000004</v>
      </c>
      <c r="AY50" s="171">
        <f t="shared" si="18"/>
        <v>2</v>
      </c>
      <c r="AZ50" s="318">
        <v>1.2</v>
      </c>
      <c r="BA50" s="171">
        <f t="shared" si="7"/>
        <v>0.86538461538461553</v>
      </c>
      <c r="BB50" s="171">
        <f t="shared" ca="1" si="11"/>
        <v>295.00726153846159</v>
      </c>
      <c r="BC50" s="258">
        <f t="shared" ca="1" si="9"/>
        <v>425.24841240750641</v>
      </c>
    </row>
    <row r="51" spans="1:55">
      <c r="A51" s="74" t="s">
        <v>446</v>
      </c>
      <c r="B51" s="83" t="s">
        <v>583</v>
      </c>
      <c r="C51" s="74" t="s">
        <v>34</v>
      </c>
      <c r="D51" s="75" t="s">
        <v>26</v>
      </c>
      <c r="E51" s="398" t="s">
        <v>551</v>
      </c>
      <c r="F51" s="74">
        <v>2011</v>
      </c>
      <c r="G51" s="74">
        <v>2011</v>
      </c>
      <c r="H51" s="76">
        <v>51.3</v>
      </c>
      <c r="I51" s="74"/>
      <c r="J51" s="74"/>
      <c r="K51" s="77">
        <v>0.23300000000000001</v>
      </c>
      <c r="L51" s="77"/>
      <c r="M51" s="77"/>
      <c r="O51" s="78">
        <f>(K51+K51*Q51)/(1+Q51*S51)</f>
        <v>1.0096666666666667</v>
      </c>
      <c r="P51" s="77">
        <v>0.3</v>
      </c>
      <c r="Q51" s="78">
        <f>1/P51</f>
        <v>3.3333333333333335</v>
      </c>
      <c r="R51" s="46"/>
      <c r="S51" s="78"/>
      <c r="T51" s="306">
        <f t="shared" ref="T51:T86" si="19">AN51*Euro</f>
        <v>59.6</v>
      </c>
      <c r="U51" s="306">
        <f t="shared" ref="U51:U86" si="20">AO51*Euro/1000000</f>
        <v>1.49</v>
      </c>
      <c r="V51" s="306">
        <f t="shared" ref="V51:V86" si="21">AP51*Euro/3.6</f>
        <v>51.322222222222223</v>
      </c>
      <c r="W51" s="78">
        <v>3.1536000000000002E-2</v>
      </c>
      <c r="X51" s="77">
        <v>0.96</v>
      </c>
      <c r="Y51" s="78">
        <v>1</v>
      </c>
      <c r="Z51" s="80">
        <v>25</v>
      </c>
      <c r="AA51" s="79">
        <v>90</v>
      </c>
      <c r="AB51" s="79">
        <v>0.3</v>
      </c>
      <c r="AC51" s="79">
        <v>1.2</v>
      </c>
      <c r="AD51" s="79">
        <f>0.27*1000*(1-98.2%)</f>
        <v>4.8600000000000048</v>
      </c>
      <c r="AE51" s="79"/>
      <c r="AF51" s="305">
        <v>3</v>
      </c>
      <c r="AI51" s="46"/>
      <c r="AJ51" s="397" t="s">
        <v>586</v>
      </c>
      <c r="AK51" s="404">
        <v>42958</v>
      </c>
      <c r="AL51" s="405" t="s">
        <v>576</v>
      </c>
      <c r="AM51" s="302"/>
      <c r="AN51" s="46">
        <v>8</v>
      </c>
      <c r="AO51" s="46">
        <v>200000</v>
      </c>
      <c r="AP51" s="46">
        <v>24.8</v>
      </c>
      <c r="AS51" s="169">
        <f>-PMT($AT$10,Z51,T51)</f>
        <v>3.8151129820726948</v>
      </c>
      <c r="AT51" s="46">
        <f t="shared" si="10"/>
        <v>5000</v>
      </c>
      <c r="AU51" s="171">
        <f t="shared" si="6"/>
        <v>763.02259641453895</v>
      </c>
      <c r="AV51" s="171">
        <f>U51/AT51*(1000000)</f>
        <v>298</v>
      </c>
      <c r="AW51" s="171">
        <f t="shared" si="17"/>
        <v>184.76000000000002</v>
      </c>
      <c r="AX51" s="257"/>
      <c r="AY51" s="171">
        <f t="shared" si="18"/>
        <v>4.2918454935622314</v>
      </c>
      <c r="AZ51" s="318">
        <v>1.2</v>
      </c>
      <c r="BA51" s="171">
        <f t="shared" si="7"/>
        <v>0.79876013352408171</v>
      </c>
      <c r="BB51" s="171">
        <f>AX51*(AY51-BA51)</f>
        <v>0</v>
      </c>
      <c r="BC51" s="258">
        <f>AU51+AV51+AW51+BB51</f>
        <v>1245.7825964145388</v>
      </c>
    </row>
    <row r="52" spans="1:55">
      <c r="A52" s="74"/>
      <c r="B52" s="74"/>
      <c r="C52" s="74"/>
      <c r="D52" s="75" t="s">
        <v>99</v>
      </c>
      <c r="E52" s="398" t="s">
        <v>551</v>
      </c>
      <c r="F52" s="74">
        <v>2020</v>
      </c>
      <c r="G52" s="74"/>
      <c r="H52" s="74"/>
      <c r="I52" s="74"/>
      <c r="J52" s="74"/>
      <c r="K52" s="77">
        <v>0.23300000000000001</v>
      </c>
      <c r="L52" s="77"/>
      <c r="M52" s="77"/>
      <c r="O52" s="78">
        <f t="shared" si="14"/>
        <v>1.0096666666666667</v>
      </c>
      <c r="P52" s="77">
        <v>0.3</v>
      </c>
      <c r="Q52" s="78">
        <f t="shared" si="15"/>
        <v>3.3333333333333335</v>
      </c>
      <c r="R52" s="46"/>
      <c r="S52" s="78"/>
      <c r="T52" s="306">
        <f t="shared" si="19"/>
        <v>58.11</v>
      </c>
      <c r="U52" s="306">
        <f t="shared" si="20"/>
        <v>1.1919999999999999</v>
      </c>
      <c r="V52" s="306">
        <f t="shared" si="21"/>
        <v>51.322222222222223</v>
      </c>
      <c r="W52" s="78"/>
      <c r="X52" s="78"/>
      <c r="Y52" s="78"/>
      <c r="Z52" s="81"/>
      <c r="AA52" s="79">
        <v>60</v>
      </c>
      <c r="AB52" s="79">
        <v>0.1</v>
      </c>
      <c r="AC52" s="79">
        <v>1</v>
      </c>
      <c r="AD52" s="79">
        <f>0.27*1000*(1-98.4%)</f>
        <v>4.3199999999999736</v>
      </c>
      <c r="AE52" s="79"/>
      <c r="AF52" s="305"/>
      <c r="AI52" s="46"/>
      <c r="AJ52" s="397" t="s">
        <v>586</v>
      </c>
      <c r="AK52" s="404">
        <v>42958</v>
      </c>
      <c r="AL52" s="405" t="s">
        <v>576</v>
      </c>
      <c r="AM52" s="302"/>
      <c r="AN52" s="46">
        <v>7.8</v>
      </c>
      <c r="AO52" s="46">
        <v>160000</v>
      </c>
      <c r="AP52" s="46">
        <v>24.8</v>
      </c>
      <c r="AS52" s="169">
        <f>-PMT($AT$10,Z51,T52)</f>
        <v>3.7197351575208768</v>
      </c>
      <c r="AT52" s="46">
        <f t="shared" si="10"/>
        <v>5000</v>
      </c>
      <c r="AU52" s="171">
        <f t="shared" si="6"/>
        <v>743.94703150417536</v>
      </c>
      <c r="AV52" s="171">
        <f>U52/AT52*(1000000)</f>
        <v>238.4</v>
      </c>
      <c r="AW52" s="171">
        <f>V52*1000*3.6/1000</f>
        <v>184.76000000000002</v>
      </c>
      <c r="AX52" s="257"/>
      <c r="AY52" s="171">
        <f t="shared" si="18"/>
        <v>4.2918454935622314</v>
      </c>
      <c r="AZ52" s="318">
        <v>1.2</v>
      </c>
      <c r="BA52" s="171">
        <f t="shared" si="7"/>
        <v>0.79876013352408171</v>
      </c>
      <c r="BB52" s="171">
        <f t="shared" si="11"/>
        <v>0</v>
      </c>
      <c r="BC52" s="258">
        <f t="shared" si="9"/>
        <v>1167.1070315041754</v>
      </c>
    </row>
    <row r="53" spans="1:55">
      <c r="A53" s="74"/>
      <c r="B53" s="74"/>
      <c r="C53" s="74"/>
      <c r="D53" s="75"/>
      <c r="E53" s="398" t="s">
        <v>551</v>
      </c>
      <c r="F53" s="74">
        <v>2030</v>
      </c>
      <c r="G53" s="74"/>
      <c r="H53" s="74"/>
      <c r="I53" s="74"/>
      <c r="J53" s="74"/>
      <c r="K53" s="77">
        <v>0.23899999999999999</v>
      </c>
      <c r="L53" s="77"/>
      <c r="M53" s="77"/>
      <c r="O53" s="78">
        <f>(K53+K53*Q53)/(1+Q53*S53)</f>
        <v>1.0356666666666667</v>
      </c>
      <c r="P53" s="77">
        <v>0.3</v>
      </c>
      <c r="Q53" s="78">
        <f t="shared" si="15"/>
        <v>3.3333333333333335</v>
      </c>
      <c r="R53" s="46"/>
      <c r="S53" s="78"/>
      <c r="T53" s="306">
        <f t="shared" si="19"/>
        <v>55.13</v>
      </c>
      <c r="U53" s="306">
        <f t="shared" si="20"/>
        <v>1.1174999999999999</v>
      </c>
      <c r="V53" s="306">
        <f t="shared" si="21"/>
        <v>50.080555555555549</v>
      </c>
      <c r="W53" s="78"/>
      <c r="X53" s="78"/>
      <c r="Y53" s="410"/>
      <c r="Z53" s="81"/>
      <c r="AA53" s="79">
        <v>20</v>
      </c>
      <c r="AB53" s="79">
        <v>0.1</v>
      </c>
      <c r="AC53" s="79">
        <v>1</v>
      </c>
      <c r="AD53" s="79">
        <f>0.27*1000*(1-98.4%)</f>
        <v>4.3199999999999736</v>
      </c>
      <c r="AE53" s="79"/>
      <c r="AF53" s="305"/>
      <c r="AI53" s="46"/>
      <c r="AJ53" s="397" t="s">
        <v>586</v>
      </c>
      <c r="AK53" s="404">
        <v>42958</v>
      </c>
      <c r="AL53" s="405" t="s">
        <v>576</v>
      </c>
      <c r="AM53" s="302"/>
      <c r="AN53" s="46">
        <v>7.4</v>
      </c>
      <c r="AO53" s="46">
        <v>150000</v>
      </c>
      <c r="AP53" s="46">
        <v>24.2</v>
      </c>
      <c r="AS53" s="169">
        <f>-PMT($AT$10,Z51,T53)</f>
        <v>3.5289795084172426</v>
      </c>
      <c r="AT53" s="46">
        <f t="shared" si="10"/>
        <v>5000</v>
      </c>
      <c r="AU53" s="171">
        <f t="shared" si="6"/>
        <v>705.79590168344851</v>
      </c>
      <c r="AV53" s="171">
        <f t="shared" si="16"/>
        <v>223.49999999999997</v>
      </c>
      <c r="AW53" s="171">
        <f t="shared" si="17"/>
        <v>180.28999999999996</v>
      </c>
      <c r="AX53" s="257"/>
      <c r="AY53" s="171">
        <f t="shared" si="18"/>
        <v>4.1841004184100417</v>
      </c>
      <c r="AZ53" s="318">
        <v>1.2</v>
      </c>
      <c r="BA53" s="171">
        <f t="shared" si="7"/>
        <v>0.70897257089725685</v>
      </c>
      <c r="BB53" s="171">
        <f t="shared" si="11"/>
        <v>0</v>
      </c>
      <c r="BC53" s="258">
        <f t="shared" si="9"/>
        <v>1109.5859016834484</v>
      </c>
    </row>
    <row r="54" spans="1:55">
      <c r="A54" s="74"/>
      <c r="B54" s="74"/>
      <c r="C54" s="74"/>
      <c r="D54" s="75"/>
      <c r="E54" s="398" t="s">
        <v>551</v>
      </c>
      <c r="F54" s="74">
        <v>2050</v>
      </c>
      <c r="G54" s="74"/>
      <c r="H54" s="74"/>
      <c r="I54" s="74"/>
      <c r="J54" s="74"/>
      <c r="K54" s="77">
        <v>0.248</v>
      </c>
      <c r="L54" s="77"/>
      <c r="M54" s="77"/>
      <c r="O54" s="78">
        <f>(K54+K54*Q54)/(1+Q54*S54)</f>
        <v>1.0230000000000001</v>
      </c>
      <c r="P54" s="77">
        <v>0.32</v>
      </c>
      <c r="Q54" s="78">
        <f>1/P54</f>
        <v>3.125</v>
      </c>
      <c r="R54" s="46"/>
      <c r="S54" s="78"/>
      <c r="T54" s="306">
        <f t="shared" si="19"/>
        <v>48.425000000000004</v>
      </c>
      <c r="U54" s="306">
        <f t="shared" si="20"/>
        <v>0.96850000000000003</v>
      </c>
      <c r="V54" s="306">
        <f t="shared" si="21"/>
        <v>48.218055555555559</v>
      </c>
      <c r="W54" s="78"/>
      <c r="X54" s="78"/>
      <c r="Y54" s="78"/>
      <c r="Z54" s="81"/>
      <c r="AA54" s="79">
        <v>10</v>
      </c>
      <c r="AB54" s="79">
        <v>0.1</v>
      </c>
      <c r="AC54" s="79">
        <v>0</v>
      </c>
      <c r="AD54" s="79">
        <f>0.27*1000*(1-98.4%)</f>
        <v>4.3199999999999736</v>
      </c>
      <c r="AE54" s="79"/>
      <c r="AF54" s="305"/>
      <c r="AI54" s="46"/>
      <c r="AJ54" s="397" t="s">
        <v>586</v>
      </c>
      <c r="AK54" s="404">
        <v>42958</v>
      </c>
      <c r="AL54" s="405" t="s">
        <v>576</v>
      </c>
      <c r="AM54" s="302"/>
      <c r="AN54" s="46">
        <v>6.5</v>
      </c>
      <c r="AO54" s="46">
        <v>130000</v>
      </c>
      <c r="AP54" s="46">
        <v>23.3</v>
      </c>
      <c r="AS54" s="169">
        <f>-PMT($AT$10,Z51,T54)</f>
        <v>3.0997792979340648</v>
      </c>
      <c r="AT54" s="46">
        <f t="shared" si="10"/>
        <v>5000</v>
      </c>
      <c r="AU54" s="171">
        <f t="shared" si="6"/>
        <v>619.95585958681295</v>
      </c>
      <c r="AV54" s="171">
        <f t="shared" si="16"/>
        <v>193.7</v>
      </c>
      <c r="AW54" s="171">
        <f t="shared" si="17"/>
        <v>173.58500000000004</v>
      </c>
      <c r="AX54" s="257"/>
      <c r="AY54" s="171">
        <f t="shared" si="18"/>
        <v>4.032258064516129</v>
      </c>
      <c r="AZ54" s="318">
        <v>1.2</v>
      </c>
      <c r="BA54" s="171">
        <f t="shared" si="7"/>
        <v>0.7560483870967738</v>
      </c>
      <c r="BB54" s="171">
        <f t="shared" si="11"/>
        <v>0</v>
      </c>
      <c r="BC54" s="258">
        <f t="shared" si="9"/>
        <v>987.24085958681303</v>
      </c>
    </row>
    <row r="55" spans="1:55">
      <c r="A55" s="372" t="s">
        <v>581</v>
      </c>
      <c r="B55" s="83" t="s">
        <v>584</v>
      </c>
      <c r="C55" s="372" t="s">
        <v>34</v>
      </c>
      <c r="D55" s="75" t="s">
        <v>26</v>
      </c>
      <c r="E55" s="398" t="s">
        <v>551</v>
      </c>
      <c r="F55" s="372">
        <v>2011</v>
      </c>
      <c r="G55" s="372">
        <v>2011</v>
      </c>
      <c r="H55" s="304">
        <v>18.399999999999999</v>
      </c>
      <c r="I55" s="372"/>
      <c r="J55" s="372"/>
      <c r="K55" s="77">
        <v>0.23100000000000001</v>
      </c>
      <c r="L55" s="77"/>
      <c r="M55" s="77"/>
      <c r="O55" s="78">
        <f t="shared" ref="O55:O58" si="22">(K55+K55*Q55)/(1+Q55*S55)</f>
        <v>1.0275517241379311</v>
      </c>
      <c r="P55" s="77">
        <v>0.28999999999999998</v>
      </c>
      <c r="Q55" s="78">
        <f t="shared" ref="Q55:Q58" si="23">1/P55</f>
        <v>3.4482758620689657</v>
      </c>
      <c r="R55" s="46"/>
      <c r="S55" s="78"/>
      <c r="T55" s="306">
        <f t="shared" si="19"/>
        <v>69.285000000000011</v>
      </c>
      <c r="U55" s="306">
        <f t="shared" si="20"/>
        <v>2.0859999999999999</v>
      </c>
      <c r="V55" s="306">
        <f t="shared" si="21"/>
        <v>51.736111111111107</v>
      </c>
      <c r="W55" s="78">
        <v>3.1536000000000002E-2</v>
      </c>
      <c r="X55" s="77">
        <v>0.95</v>
      </c>
      <c r="Y55" s="78">
        <v>1</v>
      </c>
      <c r="Z55" s="80">
        <v>25</v>
      </c>
      <c r="AA55" s="305">
        <v>90</v>
      </c>
      <c r="AB55" s="305">
        <v>0.3</v>
      </c>
      <c r="AC55" s="305">
        <v>1.2</v>
      </c>
      <c r="AD55" s="305">
        <f>0.27*1000*(1-98.2%)</f>
        <v>4.8600000000000048</v>
      </c>
      <c r="AE55" s="305"/>
      <c r="AF55" s="305">
        <v>3</v>
      </c>
      <c r="AI55" s="46"/>
      <c r="AJ55" s="397" t="s">
        <v>586</v>
      </c>
      <c r="AK55" s="404">
        <v>42958</v>
      </c>
      <c r="AL55" s="405" t="s">
        <v>576</v>
      </c>
      <c r="AM55" s="302"/>
      <c r="AN55" s="46">
        <v>9.3000000000000007</v>
      </c>
      <c r="AO55" s="46">
        <v>280000</v>
      </c>
      <c r="AP55" s="46">
        <v>25</v>
      </c>
      <c r="AS55" s="169">
        <f>-PMT($AT$10,Z55,T55)</f>
        <v>4.4350688416595077</v>
      </c>
      <c r="AT55" s="46">
        <f t="shared" si="10"/>
        <v>5000</v>
      </c>
      <c r="AU55" s="171">
        <f t="shared" ref="AU55:AU58" si="24">AS55/AT55*(1000000)</f>
        <v>887.01376833190159</v>
      </c>
      <c r="AV55" s="171">
        <f>U55/AT55*(1000000)</f>
        <v>417.19999999999993</v>
      </c>
      <c r="AW55" s="171">
        <f t="shared" ref="AW55" si="25">V55*1000*3.6/1000</f>
        <v>186.25</v>
      </c>
      <c r="AX55" s="257"/>
      <c r="AY55" s="171">
        <f t="shared" ref="AY55:AY58" si="26">1/K55</f>
        <v>4.329004329004329</v>
      </c>
      <c r="AZ55" s="318">
        <v>1.2</v>
      </c>
      <c r="BA55" s="171">
        <f t="shared" ref="BA55:BA58" si="27">IF(O55=0,0,(AY55-(O55-K55)*AY55)/AZ55)</f>
        <v>0.73394038911280268</v>
      </c>
      <c r="BB55" s="171">
        <f>AX55*(AY55-BA55)</f>
        <v>0</v>
      </c>
      <c r="BC55" s="258">
        <f>AU55+AV55+AW55+BB55</f>
        <v>1490.4637683319015</v>
      </c>
    </row>
    <row r="56" spans="1:55">
      <c r="A56" s="372"/>
      <c r="B56" s="372"/>
      <c r="C56" s="372"/>
      <c r="D56" s="75" t="s">
        <v>99</v>
      </c>
      <c r="E56" s="398" t="s">
        <v>551</v>
      </c>
      <c r="F56" s="372">
        <v>2020</v>
      </c>
      <c r="G56" s="372"/>
      <c r="H56" s="372"/>
      <c r="I56" s="372"/>
      <c r="J56" s="372"/>
      <c r="K56" s="77">
        <v>0.23100000000000001</v>
      </c>
      <c r="L56" s="77"/>
      <c r="M56" s="77"/>
      <c r="O56" s="78">
        <f t="shared" si="22"/>
        <v>1.0275517241379311</v>
      </c>
      <c r="P56" s="77">
        <v>0.28999999999999998</v>
      </c>
      <c r="Q56" s="78">
        <f t="shared" si="23"/>
        <v>3.4482758620689657</v>
      </c>
      <c r="R56" s="46"/>
      <c r="S56" s="78"/>
      <c r="T56" s="306">
        <f t="shared" si="19"/>
        <v>67.795000000000002</v>
      </c>
      <c r="U56" s="306">
        <f t="shared" si="20"/>
        <v>1.8625</v>
      </c>
      <c r="V56" s="306">
        <f t="shared" si="21"/>
        <v>51.736111111111107</v>
      </c>
      <c r="W56" s="78"/>
      <c r="X56" s="78"/>
      <c r="Y56" s="78"/>
      <c r="Z56" s="81"/>
      <c r="AA56" s="305">
        <v>60</v>
      </c>
      <c r="AB56" s="305">
        <v>0.1</v>
      </c>
      <c r="AC56" s="305">
        <v>1</v>
      </c>
      <c r="AD56" s="305">
        <f>0.27*1000*(1-98.4%)</f>
        <v>4.3199999999999736</v>
      </c>
      <c r="AE56" s="305"/>
      <c r="AF56" s="305"/>
      <c r="AI56" s="46"/>
      <c r="AJ56" s="397" t="s">
        <v>586</v>
      </c>
      <c r="AK56" s="404">
        <v>42958</v>
      </c>
      <c r="AL56" s="405" t="s">
        <v>576</v>
      </c>
      <c r="AM56" s="302"/>
      <c r="AN56" s="46">
        <v>9.1</v>
      </c>
      <c r="AO56" s="46">
        <v>250000</v>
      </c>
      <c r="AP56" s="46">
        <v>25</v>
      </c>
      <c r="AS56" s="169">
        <f>-PMT($AT$10,Z55,T56)</f>
        <v>4.3396910171076897</v>
      </c>
      <c r="AT56" s="46">
        <f t="shared" si="10"/>
        <v>5000</v>
      </c>
      <c r="AU56" s="171">
        <f t="shared" si="24"/>
        <v>867.93820342153788</v>
      </c>
      <c r="AV56" s="171">
        <f>U56/AT56*(1000000)</f>
        <v>372.5</v>
      </c>
      <c r="AW56" s="171">
        <f>V56*1000*3.6/1000</f>
        <v>186.25</v>
      </c>
      <c r="AX56" s="257"/>
      <c r="AY56" s="171">
        <f t="shared" si="26"/>
        <v>4.329004329004329</v>
      </c>
      <c r="AZ56" s="318">
        <v>1.2</v>
      </c>
      <c r="BA56" s="171">
        <f t="shared" si="27"/>
        <v>0.73394038911280268</v>
      </c>
      <c r="BB56" s="171">
        <f t="shared" ref="BB56:BB58" si="28">AX56*(AY56-BA56)</f>
        <v>0</v>
      </c>
      <c r="BC56" s="258">
        <f t="shared" ref="BC56:BC58" si="29">AU56+AV56+AW56+BB56</f>
        <v>1426.6882034215378</v>
      </c>
    </row>
    <row r="57" spans="1:55">
      <c r="A57" s="372"/>
      <c r="B57" s="372"/>
      <c r="C57" s="372"/>
      <c r="D57" s="75"/>
      <c r="E57" s="398" t="s">
        <v>551</v>
      </c>
      <c r="F57" s="372">
        <v>2030</v>
      </c>
      <c r="G57" s="372"/>
      <c r="H57" s="372"/>
      <c r="I57" s="372"/>
      <c r="J57" s="372"/>
      <c r="K57" s="77">
        <v>0.23599999999999999</v>
      </c>
      <c r="L57" s="77"/>
      <c r="M57" s="77"/>
      <c r="O57" s="78">
        <f t="shared" si="22"/>
        <v>1.0226666666666666</v>
      </c>
      <c r="P57" s="77">
        <v>0.3</v>
      </c>
      <c r="Q57" s="78">
        <f t="shared" si="23"/>
        <v>3.3333333333333335</v>
      </c>
      <c r="R57" s="46"/>
      <c r="S57" s="78"/>
      <c r="T57" s="306">
        <f t="shared" si="19"/>
        <v>64.814999999999998</v>
      </c>
      <c r="U57" s="306">
        <f t="shared" si="20"/>
        <v>1.788</v>
      </c>
      <c r="V57" s="306">
        <f t="shared" si="21"/>
        <v>52.563888888888883</v>
      </c>
      <c r="W57" s="78"/>
      <c r="X57" s="78"/>
      <c r="Y57" s="410"/>
      <c r="Z57" s="81"/>
      <c r="AA57" s="305">
        <v>4</v>
      </c>
      <c r="AB57" s="305">
        <v>0.1</v>
      </c>
      <c r="AC57" s="305">
        <v>1</v>
      </c>
      <c r="AD57" s="305">
        <f>0.27*1000*(1-98.4%)</f>
        <v>4.3199999999999736</v>
      </c>
      <c r="AE57" s="305"/>
      <c r="AF57" s="305"/>
      <c r="AI57" s="46"/>
      <c r="AJ57" s="397" t="s">
        <v>586</v>
      </c>
      <c r="AK57" s="404">
        <v>42958</v>
      </c>
      <c r="AL57" s="405" t="s">
        <v>576</v>
      </c>
      <c r="AM57" s="302"/>
      <c r="AN57" s="46">
        <v>8.6999999999999993</v>
      </c>
      <c r="AO57" s="46">
        <v>240000</v>
      </c>
      <c r="AP57" s="46">
        <v>25.4</v>
      </c>
      <c r="AS57" s="169">
        <f>-PMT($AT$10,Z55,T57)</f>
        <v>4.1489353680040555</v>
      </c>
      <c r="AT57" s="46">
        <f t="shared" si="10"/>
        <v>5000</v>
      </c>
      <c r="AU57" s="171">
        <f t="shared" si="24"/>
        <v>829.78707360081114</v>
      </c>
      <c r="AV57" s="171">
        <f t="shared" ref="AV57:AV58" si="30">U57/AT57*(1000000)</f>
        <v>357.6</v>
      </c>
      <c r="AW57" s="171">
        <f t="shared" ref="AW57:AW59" si="31">V57*1000*3.6/1000</f>
        <v>189.22999999999996</v>
      </c>
      <c r="AX57" s="257"/>
      <c r="AY57" s="171">
        <f t="shared" si="26"/>
        <v>4.2372881355932206</v>
      </c>
      <c r="AZ57" s="318">
        <v>1.2</v>
      </c>
      <c r="BA57" s="171">
        <f t="shared" si="27"/>
        <v>0.75329566854990593</v>
      </c>
      <c r="BB57" s="171">
        <f t="shared" si="28"/>
        <v>0</v>
      </c>
      <c r="BC57" s="258">
        <f t="shared" si="29"/>
        <v>1376.6170736008112</v>
      </c>
    </row>
    <row r="58" spans="1:55">
      <c r="A58" s="372"/>
      <c r="B58" s="372"/>
      <c r="C58" s="372"/>
      <c r="D58" s="75"/>
      <c r="E58" s="398" t="s">
        <v>551</v>
      </c>
      <c r="F58" s="372">
        <v>2050</v>
      </c>
      <c r="G58" s="372"/>
      <c r="H58" s="372"/>
      <c r="I58" s="372"/>
      <c r="J58" s="372"/>
      <c r="K58" s="77">
        <v>0.24399999999999999</v>
      </c>
      <c r="L58" s="77"/>
      <c r="M58" s="77"/>
      <c r="O58" s="78">
        <f t="shared" si="22"/>
        <v>1.0310967741935484</v>
      </c>
      <c r="P58" s="77">
        <v>0.31</v>
      </c>
      <c r="Q58" s="78">
        <f t="shared" si="23"/>
        <v>3.2258064516129035</v>
      </c>
      <c r="R58" s="46"/>
      <c r="S58" s="78"/>
      <c r="T58" s="306">
        <f t="shared" si="19"/>
        <v>56.62</v>
      </c>
      <c r="U58" s="306">
        <f t="shared" si="20"/>
        <v>1.49</v>
      </c>
      <c r="V58" s="306">
        <f t="shared" si="21"/>
        <v>48.838888888888896</v>
      </c>
      <c r="W58" s="78"/>
      <c r="X58" s="78"/>
      <c r="Y58" s="78"/>
      <c r="Z58" s="81"/>
      <c r="AA58" s="305">
        <v>10</v>
      </c>
      <c r="AB58" s="305">
        <v>0.1</v>
      </c>
      <c r="AC58" s="305">
        <v>1</v>
      </c>
      <c r="AD58" s="305">
        <f>0.27*1000*(1-98.4%)</f>
        <v>4.3199999999999736</v>
      </c>
      <c r="AE58" s="305"/>
      <c r="AF58" s="305"/>
      <c r="AI58" s="46"/>
      <c r="AJ58" s="397" t="s">
        <v>586</v>
      </c>
      <c r="AK58" s="404">
        <v>42958</v>
      </c>
      <c r="AL58" s="405" t="s">
        <v>576</v>
      </c>
      <c r="AM58" s="302"/>
      <c r="AN58" s="46">
        <v>7.6</v>
      </c>
      <c r="AO58" s="46">
        <v>200000</v>
      </c>
      <c r="AP58" s="46">
        <v>23.6</v>
      </c>
      <c r="AS58" s="169">
        <f>-PMT($AT$10,Z55,T58)</f>
        <v>3.6243573329690593</v>
      </c>
      <c r="AT58" s="46">
        <f t="shared" si="10"/>
        <v>5000</v>
      </c>
      <c r="AU58" s="171">
        <f t="shared" si="24"/>
        <v>724.87146659381187</v>
      </c>
      <c r="AV58" s="171">
        <f t="shared" si="30"/>
        <v>298</v>
      </c>
      <c r="AW58" s="171">
        <f t="shared" si="31"/>
        <v>175.82000000000002</v>
      </c>
      <c r="AX58" s="257"/>
      <c r="AY58" s="171">
        <f t="shared" si="26"/>
        <v>4.0983606557377046</v>
      </c>
      <c r="AZ58" s="318">
        <v>1.2</v>
      </c>
      <c r="BA58" s="171">
        <f t="shared" si="27"/>
        <v>0.72712850343733471</v>
      </c>
      <c r="BB58" s="171">
        <f t="shared" si="28"/>
        <v>0</v>
      </c>
      <c r="BC58" s="258">
        <f t="shared" si="29"/>
        <v>1198.6914665938118</v>
      </c>
    </row>
    <row r="59" spans="1:55">
      <c r="A59" s="372" t="s">
        <v>582</v>
      </c>
      <c r="B59" s="83" t="s">
        <v>585</v>
      </c>
      <c r="C59" s="372" t="s">
        <v>34</v>
      </c>
      <c r="D59" s="75" t="s">
        <v>26</v>
      </c>
      <c r="E59" s="398" t="s">
        <v>551</v>
      </c>
      <c r="F59" s="372">
        <v>2011</v>
      </c>
      <c r="G59" s="372">
        <v>2011</v>
      </c>
      <c r="H59" s="304">
        <v>7.9</v>
      </c>
      <c r="I59" s="372"/>
      <c r="J59" s="372"/>
      <c r="K59" s="77">
        <v>0.22600000000000001</v>
      </c>
      <c r="L59" s="77"/>
      <c r="M59" s="77"/>
      <c r="O59" s="78">
        <f t="shared" ref="O59:O66" si="32">(K59+K59*Q59)/(1+Q59*S59)</f>
        <v>1.0053103448275864</v>
      </c>
      <c r="P59" s="77">
        <v>0.28999999999999998</v>
      </c>
      <c r="Q59" s="78">
        <f t="shared" ref="Q59:Q65" si="33">1/P59</f>
        <v>3.4482758620689657</v>
      </c>
      <c r="R59" s="46"/>
      <c r="S59" s="78"/>
      <c r="T59" s="306">
        <f t="shared" si="19"/>
        <v>79.715000000000003</v>
      </c>
      <c r="U59" s="306">
        <f t="shared" si="20"/>
        <v>2.98</v>
      </c>
      <c r="V59" s="306">
        <f t="shared" si="21"/>
        <v>52.977777777777781</v>
      </c>
      <c r="W59" s="78">
        <v>3.1536000000000002E-2</v>
      </c>
      <c r="X59" s="77">
        <v>0.94</v>
      </c>
      <c r="Y59" s="78">
        <v>1</v>
      </c>
      <c r="Z59" s="80">
        <v>25</v>
      </c>
      <c r="AA59" s="305">
        <v>90</v>
      </c>
      <c r="AB59" s="305">
        <v>0.3</v>
      </c>
      <c r="AC59" s="305">
        <v>0</v>
      </c>
      <c r="AD59" s="305">
        <f>0.27*1000*(1-98.2%)</f>
        <v>4.8600000000000048</v>
      </c>
      <c r="AE59" s="305"/>
      <c r="AF59" s="305">
        <v>3</v>
      </c>
      <c r="AI59" s="46"/>
      <c r="AJ59" s="397" t="s">
        <v>586</v>
      </c>
      <c r="AK59" s="404">
        <v>42958</v>
      </c>
      <c r="AL59" s="405" t="s">
        <v>576</v>
      </c>
      <c r="AM59" s="302"/>
      <c r="AN59" s="46">
        <v>10.7</v>
      </c>
      <c r="AO59" s="46">
        <v>400000</v>
      </c>
      <c r="AP59" s="46">
        <v>25.6</v>
      </c>
      <c r="AS59" s="169">
        <f>-PMT($AT$10,Z59,T59)</f>
        <v>5.1027136135222291</v>
      </c>
      <c r="AT59" s="46">
        <f t="shared" si="10"/>
        <v>5000</v>
      </c>
      <c r="AU59" s="171">
        <f t="shared" ref="AU59:AU66" si="34">AS59/AT59*(1000000)</f>
        <v>1020.542722704446</v>
      </c>
      <c r="AV59" s="171">
        <f>U59/AT59*(1000000)</f>
        <v>596</v>
      </c>
      <c r="AW59" s="171">
        <f t="shared" si="31"/>
        <v>190.72000000000003</v>
      </c>
      <c r="AX59" s="257"/>
      <c r="AY59" s="171">
        <f t="shared" ref="AY59:AY66" si="35">1/K59</f>
        <v>4.4247787610619467</v>
      </c>
      <c r="AZ59" s="318">
        <v>1.2</v>
      </c>
      <c r="BA59" s="171">
        <f t="shared" ref="BA59:BA66" si="36">IF(O59=0,0,(AY59-(O59-K59)*AY59)/AZ59)</f>
        <v>0.81375241582748381</v>
      </c>
      <c r="BB59" s="171">
        <f>AX59*(AY59-BA59)</f>
        <v>0</v>
      </c>
      <c r="BC59" s="258">
        <f>AU59+AV59+AW59+BB59</f>
        <v>1807.2627227044461</v>
      </c>
    </row>
    <row r="60" spans="1:55">
      <c r="A60" s="372"/>
      <c r="B60" s="372"/>
      <c r="C60" s="372"/>
      <c r="D60" s="75" t="s">
        <v>99</v>
      </c>
      <c r="E60" s="398" t="s">
        <v>551</v>
      </c>
      <c r="F60" s="372">
        <v>2020</v>
      </c>
      <c r="G60" s="372"/>
      <c r="H60" s="372"/>
      <c r="I60" s="372"/>
      <c r="J60" s="372"/>
      <c r="K60" s="77">
        <v>0.22600000000000001</v>
      </c>
      <c r="L60" s="77"/>
      <c r="M60" s="77"/>
      <c r="O60" s="78">
        <f t="shared" si="32"/>
        <v>1.0053103448275864</v>
      </c>
      <c r="P60" s="77">
        <v>0.28999999999999998</v>
      </c>
      <c r="Q60" s="78">
        <f t="shared" si="33"/>
        <v>3.4482758620689657</v>
      </c>
      <c r="R60" s="46"/>
      <c r="S60" s="78"/>
      <c r="T60" s="306">
        <f t="shared" si="19"/>
        <v>78.225000000000009</v>
      </c>
      <c r="U60" s="306">
        <f t="shared" si="20"/>
        <v>2.9055</v>
      </c>
      <c r="V60" s="306">
        <f t="shared" si="21"/>
        <v>52.977777777777781</v>
      </c>
      <c r="W60" s="78"/>
      <c r="X60" s="78"/>
      <c r="Y60" s="78"/>
      <c r="Z60" s="81"/>
      <c r="AA60" s="305">
        <v>70</v>
      </c>
      <c r="AB60" s="305">
        <v>0.1</v>
      </c>
      <c r="AC60" s="305">
        <v>1</v>
      </c>
      <c r="AD60" s="305">
        <f>0.27*1000*(1-98.4%)</f>
        <v>4.3199999999999736</v>
      </c>
      <c r="AE60" s="305"/>
      <c r="AF60" s="305"/>
      <c r="AI60" s="46"/>
      <c r="AJ60" s="397" t="s">
        <v>586</v>
      </c>
      <c r="AK60" s="404">
        <v>42958</v>
      </c>
      <c r="AL60" s="405" t="s">
        <v>576</v>
      </c>
      <c r="AM60" s="302"/>
      <c r="AN60" s="46">
        <v>10.5</v>
      </c>
      <c r="AO60" s="46">
        <v>390000</v>
      </c>
      <c r="AP60" s="46">
        <v>25.6</v>
      </c>
      <c r="AS60" s="169">
        <f>-PMT($AT$10,Z59,T60)</f>
        <v>5.007335788970412</v>
      </c>
      <c r="AT60" s="46">
        <f t="shared" si="10"/>
        <v>5000</v>
      </c>
      <c r="AU60" s="171">
        <f t="shared" si="34"/>
        <v>1001.4671577940823</v>
      </c>
      <c r="AV60" s="171">
        <f>U60/AT60*(1000000)</f>
        <v>581.1</v>
      </c>
      <c r="AW60" s="171">
        <f>V60*1000*3.6/1000</f>
        <v>190.72000000000003</v>
      </c>
      <c r="AX60" s="257"/>
      <c r="AY60" s="171">
        <f t="shared" si="35"/>
        <v>4.4247787610619467</v>
      </c>
      <c r="AZ60" s="318">
        <v>1.2</v>
      </c>
      <c r="BA60" s="171">
        <f t="shared" si="36"/>
        <v>0.81375241582748381</v>
      </c>
      <c r="BB60" s="171">
        <f t="shared" ref="BB60:BB62" si="37">AX60*(AY60-BA60)</f>
        <v>0</v>
      </c>
      <c r="BC60" s="258">
        <f t="shared" ref="BC60:BC62" si="38">AU60+AV60+AW60+BB60</f>
        <v>1773.2871577940823</v>
      </c>
    </row>
    <row r="61" spans="1:55">
      <c r="A61" s="372"/>
      <c r="B61" s="372"/>
      <c r="C61" s="372"/>
      <c r="D61" s="75"/>
      <c r="E61" s="398" t="s">
        <v>551</v>
      </c>
      <c r="F61" s="372">
        <v>2030</v>
      </c>
      <c r="G61" s="372"/>
      <c r="H61" s="372"/>
      <c r="I61" s="372"/>
      <c r="J61" s="372"/>
      <c r="K61" s="77">
        <v>0.23499999999999999</v>
      </c>
      <c r="L61" s="77"/>
      <c r="M61" s="77"/>
      <c r="O61" s="78">
        <f t="shared" si="32"/>
        <v>1.0183333333333333</v>
      </c>
      <c r="P61" s="77">
        <v>0.3</v>
      </c>
      <c r="Q61" s="78">
        <f t="shared" si="33"/>
        <v>3.3333333333333335</v>
      </c>
      <c r="R61" s="46"/>
      <c r="S61" s="78"/>
      <c r="T61" s="306">
        <f t="shared" si="19"/>
        <v>71.52</v>
      </c>
      <c r="U61" s="306">
        <f t="shared" si="20"/>
        <v>2.6074999999999999</v>
      </c>
      <c r="V61" s="306">
        <f t="shared" si="21"/>
        <v>50.908333333333331</v>
      </c>
      <c r="W61" s="78"/>
      <c r="X61" s="78"/>
      <c r="Y61" s="410"/>
      <c r="Z61" s="81"/>
      <c r="AA61" s="305">
        <v>60</v>
      </c>
      <c r="AB61" s="305">
        <v>0.1</v>
      </c>
      <c r="AC61" s="305">
        <v>1</v>
      </c>
      <c r="AD61" s="305">
        <f>0.27*1000*(1-98.4%)</f>
        <v>4.3199999999999736</v>
      </c>
      <c r="AE61" s="305"/>
      <c r="AF61" s="305"/>
      <c r="AI61" s="46"/>
      <c r="AJ61" s="397" t="s">
        <v>586</v>
      </c>
      <c r="AK61" s="404">
        <v>42958</v>
      </c>
      <c r="AL61" s="405" t="s">
        <v>576</v>
      </c>
      <c r="AM61" s="302"/>
      <c r="AN61" s="46">
        <v>9.6</v>
      </c>
      <c r="AO61" s="46">
        <v>350000</v>
      </c>
      <c r="AP61" s="46">
        <v>24.6</v>
      </c>
      <c r="AS61" s="169">
        <f>-PMT($AT$10,Z59,T61)</f>
        <v>4.5781355784872328</v>
      </c>
      <c r="AT61" s="46">
        <f t="shared" si="10"/>
        <v>5000</v>
      </c>
      <c r="AU61" s="171">
        <f t="shared" si="34"/>
        <v>915.62711569744658</v>
      </c>
      <c r="AV61" s="171">
        <f t="shared" ref="AV61:AV66" si="39">U61/AT61*(1000000)</f>
        <v>521.49999999999989</v>
      </c>
      <c r="AW61" s="171">
        <f t="shared" ref="AW61:AW66" si="40">V61*1000*3.6/1000</f>
        <v>183.27</v>
      </c>
      <c r="AX61" s="257"/>
      <c r="AY61" s="171">
        <f t="shared" si="35"/>
        <v>4.2553191489361701</v>
      </c>
      <c r="AZ61" s="318">
        <v>1.2</v>
      </c>
      <c r="BA61" s="171">
        <f t="shared" si="36"/>
        <v>0.76832151300236429</v>
      </c>
      <c r="BB61" s="171">
        <f t="shared" si="37"/>
        <v>0</v>
      </c>
      <c r="BC61" s="258">
        <f t="shared" si="38"/>
        <v>1620.3971156974465</v>
      </c>
    </row>
    <row r="62" spans="1:55">
      <c r="A62" s="372"/>
      <c r="B62" s="372"/>
      <c r="C62" s="372"/>
      <c r="D62" s="75"/>
      <c r="E62" s="398" t="s">
        <v>551</v>
      </c>
      <c r="F62" s="372">
        <v>2050</v>
      </c>
      <c r="G62" s="372"/>
      <c r="H62" s="372"/>
      <c r="I62" s="372"/>
      <c r="J62" s="372"/>
      <c r="K62" s="77">
        <v>0.23699999999999999</v>
      </c>
      <c r="L62" s="77"/>
      <c r="M62" s="77"/>
      <c r="O62" s="78">
        <f t="shared" si="32"/>
        <v>1.0270000000000001</v>
      </c>
      <c r="P62" s="77">
        <v>0.3</v>
      </c>
      <c r="Q62" s="78">
        <f t="shared" si="33"/>
        <v>3.3333333333333335</v>
      </c>
      <c r="R62" s="46"/>
      <c r="S62" s="78"/>
      <c r="T62" s="306">
        <f t="shared" si="19"/>
        <v>65.56</v>
      </c>
      <c r="U62" s="306">
        <f t="shared" si="20"/>
        <v>2.3094999999999999</v>
      </c>
      <c r="V62" s="306">
        <f t="shared" si="21"/>
        <v>50.287499999999994</v>
      </c>
      <c r="W62" s="78"/>
      <c r="X62" s="78"/>
      <c r="Y62" s="78"/>
      <c r="Z62" s="81"/>
      <c r="AA62" s="305">
        <v>20</v>
      </c>
      <c r="AB62" s="305">
        <v>0.1</v>
      </c>
      <c r="AC62" s="305">
        <v>0</v>
      </c>
      <c r="AD62" s="305">
        <f>0.27*1000*(1-98.4%)</f>
        <v>4.3199999999999736</v>
      </c>
      <c r="AE62" s="305"/>
      <c r="AF62" s="305"/>
      <c r="AI62" s="46"/>
      <c r="AJ62" s="397" t="s">
        <v>586</v>
      </c>
      <c r="AK62" s="404">
        <v>42958</v>
      </c>
      <c r="AL62" s="405" t="s">
        <v>576</v>
      </c>
      <c r="AM62" s="302"/>
      <c r="AN62" s="46">
        <v>8.8000000000000007</v>
      </c>
      <c r="AO62" s="46">
        <v>310000</v>
      </c>
      <c r="AP62" s="46">
        <v>24.3</v>
      </c>
      <c r="AS62" s="169">
        <f>-PMT($AT$10,Z59,T62)</f>
        <v>4.1966242802799636</v>
      </c>
      <c r="AT62" s="46">
        <f>AT61</f>
        <v>5000</v>
      </c>
      <c r="AU62" s="171">
        <f t="shared" si="34"/>
        <v>839.32485605599265</v>
      </c>
      <c r="AV62" s="171">
        <f t="shared" si="39"/>
        <v>461.9</v>
      </c>
      <c r="AW62" s="171">
        <f t="shared" si="40"/>
        <v>181.03499999999997</v>
      </c>
      <c r="AX62" s="257"/>
      <c r="AY62" s="171">
        <f t="shared" si="35"/>
        <v>4.2194092827004219</v>
      </c>
      <c r="AZ62" s="318">
        <v>1.2</v>
      </c>
      <c r="BA62" s="171">
        <f t="shared" si="36"/>
        <v>0.73839662447257337</v>
      </c>
      <c r="BB62" s="171">
        <f t="shared" si="37"/>
        <v>0</v>
      </c>
      <c r="BC62" s="258">
        <f t="shared" si="38"/>
        <v>1482.2598560559927</v>
      </c>
    </row>
    <row r="63" spans="1:55">
      <c r="A63" s="372" t="s">
        <v>447</v>
      </c>
      <c r="B63" s="83" t="s">
        <v>587</v>
      </c>
      <c r="C63" s="372" t="s">
        <v>381</v>
      </c>
      <c r="D63" s="75" t="s">
        <v>26</v>
      </c>
      <c r="E63" s="398" t="s">
        <v>551</v>
      </c>
      <c r="F63" s="372">
        <v>2015</v>
      </c>
      <c r="G63" s="372">
        <v>2015</v>
      </c>
      <c r="H63" s="304">
        <v>173.3</v>
      </c>
      <c r="I63" s="372"/>
      <c r="J63" s="372"/>
      <c r="K63" s="77">
        <v>0.28899999999999998</v>
      </c>
      <c r="L63" s="77"/>
      <c r="M63" s="77"/>
      <c r="O63" s="78">
        <f t="shared" si="32"/>
        <v>1.1389999999999998</v>
      </c>
      <c r="P63" s="77">
        <v>0.34</v>
      </c>
      <c r="Q63" s="78">
        <f t="shared" si="33"/>
        <v>2.9411764705882351</v>
      </c>
      <c r="R63" s="78"/>
      <c r="S63" s="78"/>
      <c r="T63" s="306">
        <f t="shared" si="19"/>
        <v>25.33</v>
      </c>
      <c r="U63" s="306">
        <f t="shared" si="20"/>
        <v>0.44700000000000001</v>
      </c>
      <c r="V63" s="306">
        <f t="shared" si="21"/>
        <v>7.863888888888888</v>
      </c>
      <c r="W63" s="78">
        <v>3.1536000000000002E-2</v>
      </c>
      <c r="X63" s="77">
        <v>0.95</v>
      </c>
      <c r="Y63" s="78">
        <v>1</v>
      </c>
      <c r="Z63" s="80">
        <v>25</v>
      </c>
      <c r="AA63" s="305">
        <v>30</v>
      </c>
      <c r="AB63" s="305">
        <v>3</v>
      </c>
      <c r="AC63" s="305">
        <v>1</v>
      </c>
      <c r="AD63" s="305">
        <v>1.9</v>
      </c>
      <c r="AE63" s="305"/>
      <c r="AF63" s="306">
        <v>5</v>
      </c>
      <c r="AI63" s="46"/>
      <c r="AJ63" s="397" t="s">
        <v>586</v>
      </c>
      <c r="AK63" s="404">
        <v>42958</v>
      </c>
      <c r="AL63" s="405" t="s">
        <v>576</v>
      </c>
      <c r="AM63" s="302"/>
      <c r="AN63" s="46">
        <v>3.4</v>
      </c>
      <c r="AO63" s="46">
        <v>60000</v>
      </c>
      <c r="AP63" s="46">
        <v>3.8</v>
      </c>
      <c r="AS63" s="169">
        <f>-PMT($AT$10,Z63,T63)</f>
        <v>1.6214230173808952</v>
      </c>
      <c r="AT63" s="46">
        <f>AT50</f>
        <v>5000</v>
      </c>
      <c r="AU63" s="171">
        <f t="shared" si="34"/>
        <v>324.28460347617909</v>
      </c>
      <c r="AV63" s="171">
        <f t="shared" si="39"/>
        <v>89.4</v>
      </c>
      <c r="AW63" s="171">
        <f t="shared" si="40"/>
        <v>28.309999999999995</v>
      </c>
      <c r="AX63" s="171">
        <f t="array" aca="1" ref="AX63" ca="1">3.6*FuelPriceRAMSES!$Z$38*INDEX(FuelPriceRAMSES!$R$33:$R$63,MATCH(RIGHT(INDIRECT("E"&amp;ROW()),2),RIGHT(FuelPriceRAMSES!$Q$33:$Q$63,2),0))</f>
        <v>171.14868884210532</v>
      </c>
      <c r="AY63" s="171">
        <f t="shared" si="35"/>
        <v>3.4602076124567476</v>
      </c>
      <c r="AZ63" s="318">
        <v>1.2</v>
      </c>
      <c r="BA63" s="171">
        <f>IF(O63=0,0,(AY63-(O63-K63)*AY63)/AZ63)</f>
        <v>0.43252595155709378</v>
      </c>
      <c r="BB63" s="171">
        <f ca="1">AX63*(AY63-BA63)</f>
        <v>518.18374649426346</v>
      </c>
      <c r="BC63" s="258">
        <f ca="1">AU63+AV63+AW63+BB63</f>
        <v>960.17834997044247</v>
      </c>
    </row>
    <row r="64" spans="1:55">
      <c r="A64" s="372"/>
      <c r="B64" s="372"/>
      <c r="C64" s="372"/>
      <c r="D64" s="75" t="s">
        <v>99</v>
      </c>
      <c r="E64" s="398" t="s">
        <v>551</v>
      </c>
      <c r="F64" s="372">
        <v>2020</v>
      </c>
      <c r="G64" s="372"/>
      <c r="H64" s="372"/>
      <c r="I64" s="372"/>
      <c r="J64" s="372"/>
      <c r="K64" s="77">
        <v>0.28999999999999998</v>
      </c>
      <c r="L64" s="77"/>
      <c r="M64" s="77"/>
      <c r="O64" s="78">
        <f t="shared" si="32"/>
        <v>1.1429411764705881</v>
      </c>
      <c r="P64" s="77">
        <v>0.34</v>
      </c>
      <c r="Q64" s="78">
        <f t="shared" si="33"/>
        <v>2.9411764705882351</v>
      </c>
      <c r="R64" s="78"/>
      <c r="S64" s="78"/>
      <c r="T64" s="306">
        <f t="shared" si="19"/>
        <v>24.585000000000001</v>
      </c>
      <c r="U64" s="306">
        <f t="shared" si="20"/>
        <v>0.44700000000000001</v>
      </c>
      <c r="V64" s="306">
        <f t="shared" si="21"/>
        <v>7.863888888888888</v>
      </c>
      <c r="W64" s="78"/>
      <c r="X64" s="78"/>
      <c r="Y64" s="78"/>
      <c r="Z64" s="81"/>
      <c r="AA64" s="305">
        <v>20</v>
      </c>
      <c r="AB64" s="305">
        <v>2</v>
      </c>
      <c r="AC64" s="305">
        <v>1</v>
      </c>
      <c r="AD64" s="305">
        <v>1.9</v>
      </c>
      <c r="AE64" s="305"/>
      <c r="AF64" s="306"/>
      <c r="AI64" s="46"/>
      <c r="AJ64" s="397" t="s">
        <v>586</v>
      </c>
      <c r="AK64" s="404">
        <v>42958</v>
      </c>
      <c r="AL64" s="405" t="s">
        <v>576</v>
      </c>
      <c r="AM64" s="302"/>
      <c r="AN64" s="46">
        <v>3.3</v>
      </c>
      <c r="AO64" s="46">
        <v>60000</v>
      </c>
      <c r="AP64" s="46">
        <v>3.8</v>
      </c>
      <c r="AS64" s="169">
        <f>-PMT($AT$10,Z63,T64)</f>
        <v>1.5737341051049865</v>
      </c>
      <c r="AT64" s="46">
        <f t="shared" si="10"/>
        <v>5000</v>
      </c>
      <c r="AU64" s="171">
        <f t="shared" si="34"/>
        <v>314.74682102099729</v>
      </c>
      <c r="AV64" s="171">
        <f t="shared" si="39"/>
        <v>89.4</v>
      </c>
      <c r="AW64" s="171">
        <f t="shared" si="40"/>
        <v>28.309999999999995</v>
      </c>
      <c r="AX64" s="171">
        <f t="array" aca="1" ref="AX64" ca="1">3.6*FuelPriceRAMSES!$Z$43*INDEX(FuelPriceRAMSES!$R$33:$R$63,MATCH(RIGHT(INDIRECT("E"&amp;ROW()),2),RIGHT(FuelPriceRAMSES!$Q$33:$Q$63,2),0))</f>
        <v>178.49088</v>
      </c>
      <c r="AY64" s="171">
        <f t="shared" si="35"/>
        <v>3.4482758620689657</v>
      </c>
      <c r="AZ64" s="318">
        <v>1.2</v>
      </c>
      <c r="BA64" s="171">
        <f t="shared" si="36"/>
        <v>0.42258282623394228</v>
      </c>
      <c r="BB64" s="171">
        <f t="shared" ref="BB64:BB66" ca="1" si="41">AX64*(AY64-BA64)</f>
        <v>540.05861257606489</v>
      </c>
      <c r="BC64" s="258">
        <f t="shared" ref="BC64:BC66" ca="1" si="42">AU64+AV64+AW64+BB64</f>
        <v>972.51543359706216</v>
      </c>
    </row>
    <row r="65" spans="1:59">
      <c r="A65" s="372"/>
      <c r="B65" s="372"/>
      <c r="C65" s="372"/>
      <c r="D65" s="75"/>
      <c r="E65" s="398" t="s">
        <v>551</v>
      </c>
      <c r="F65" s="372">
        <v>2030</v>
      </c>
      <c r="G65" s="372"/>
      <c r="H65" s="372"/>
      <c r="I65" s="372"/>
      <c r="J65" s="372"/>
      <c r="K65" s="77">
        <v>0.29099999999999998</v>
      </c>
      <c r="L65" s="77"/>
      <c r="M65" s="77"/>
      <c r="O65" s="78">
        <f t="shared" si="32"/>
        <v>1.1468823529411762</v>
      </c>
      <c r="P65" s="77">
        <v>0.34</v>
      </c>
      <c r="Q65" s="78">
        <f t="shared" si="33"/>
        <v>2.9411764705882351</v>
      </c>
      <c r="R65" s="78"/>
      <c r="S65" s="78"/>
      <c r="T65" s="306">
        <f t="shared" si="19"/>
        <v>23.095000000000002</v>
      </c>
      <c r="U65" s="306">
        <f t="shared" si="20"/>
        <v>0.3725</v>
      </c>
      <c r="V65" s="306">
        <f t="shared" si="21"/>
        <v>7.863888888888888</v>
      </c>
      <c r="W65" s="78"/>
      <c r="X65" s="78"/>
      <c r="Y65" s="78"/>
      <c r="Z65" s="81"/>
      <c r="AA65" s="305">
        <v>20</v>
      </c>
      <c r="AB65" s="305">
        <v>2</v>
      </c>
      <c r="AC65" s="305">
        <v>1</v>
      </c>
      <c r="AD65" s="305">
        <v>1.9</v>
      </c>
      <c r="AE65" s="305"/>
      <c r="AF65" s="306"/>
      <c r="AI65" s="46"/>
      <c r="AJ65" s="397" t="s">
        <v>586</v>
      </c>
      <c r="AK65" s="404">
        <v>42958</v>
      </c>
      <c r="AL65" s="405" t="s">
        <v>576</v>
      </c>
      <c r="AM65" s="302"/>
      <c r="AN65" s="46">
        <v>3.1</v>
      </c>
      <c r="AO65" s="46">
        <v>50000</v>
      </c>
      <c r="AP65" s="46">
        <v>3.8</v>
      </c>
      <c r="AS65" s="169">
        <f>-PMT($AT$10,Z63,T65)</f>
        <v>1.4783562805531694</v>
      </c>
      <c r="AT65" s="46">
        <f t="shared" si="10"/>
        <v>5000</v>
      </c>
      <c r="AU65" s="171">
        <f t="shared" si="34"/>
        <v>295.67125611063386</v>
      </c>
      <c r="AV65" s="171">
        <f t="shared" si="39"/>
        <v>74.5</v>
      </c>
      <c r="AW65" s="171">
        <f t="shared" si="40"/>
        <v>28.309999999999995</v>
      </c>
      <c r="AX65" s="171">
        <f t="array" aca="1" ref="AX65" ca="1">3.6*FuelPriceRAMSES!$Z$53*INDEX(FuelPriceRAMSES!$R$33:$R$63,MATCH(RIGHT(INDIRECT("E"&amp;ROW()),2),RIGHT(FuelPriceRAMSES!$Q$33:$Q$63,2),0))</f>
        <v>193.59936000000002</v>
      </c>
      <c r="AY65" s="171">
        <f t="shared" si="35"/>
        <v>3.4364261168384882</v>
      </c>
      <c r="AZ65" s="318">
        <v>1.2</v>
      </c>
      <c r="BA65" s="171">
        <f t="shared" si="36"/>
        <v>0.41270803854187765</v>
      </c>
      <c r="BB65" s="171">
        <f t="shared" ca="1" si="41"/>
        <v>585.38988477865382</v>
      </c>
      <c r="BC65" s="258">
        <f t="shared" ca="1" si="42"/>
        <v>983.87114088928774</v>
      </c>
    </row>
    <row r="66" spans="1:59">
      <c r="A66" s="372"/>
      <c r="B66" s="372"/>
      <c r="C66" s="372"/>
      <c r="D66" s="75"/>
      <c r="E66" s="398" t="s">
        <v>551</v>
      </c>
      <c r="F66" s="372">
        <v>2050</v>
      </c>
      <c r="G66" s="372"/>
      <c r="H66" s="372"/>
      <c r="I66" s="372"/>
      <c r="J66" s="372"/>
      <c r="K66" s="77">
        <v>0.29099999999999998</v>
      </c>
      <c r="L66" s="77"/>
      <c r="M66" s="77"/>
      <c r="O66" s="78">
        <f t="shared" si="32"/>
        <v>1.1468823529411762</v>
      </c>
      <c r="P66" s="77">
        <v>0.34</v>
      </c>
      <c r="Q66" s="78">
        <f>1/P66</f>
        <v>2.9411764705882351</v>
      </c>
      <c r="R66" s="78"/>
      <c r="S66" s="78"/>
      <c r="T66" s="306">
        <f t="shared" si="19"/>
        <v>20.86</v>
      </c>
      <c r="U66" s="306">
        <f t="shared" si="20"/>
        <v>0.3725</v>
      </c>
      <c r="V66" s="306">
        <f t="shared" si="21"/>
        <v>7.863888888888888</v>
      </c>
      <c r="W66" s="78"/>
      <c r="X66" s="78"/>
      <c r="Y66" s="78"/>
      <c r="Z66" s="81"/>
      <c r="AA66" s="305">
        <v>10</v>
      </c>
      <c r="AB66" s="305">
        <v>1</v>
      </c>
      <c r="AC66" s="305">
        <v>0</v>
      </c>
      <c r="AD66" s="305">
        <v>1.9</v>
      </c>
      <c r="AE66" s="305"/>
      <c r="AF66" s="306"/>
      <c r="AI66" s="46"/>
      <c r="AJ66" s="397" t="s">
        <v>586</v>
      </c>
      <c r="AK66" s="404">
        <v>42958</v>
      </c>
      <c r="AL66" s="405" t="s">
        <v>576</v>
      </c>
      <c r="AM66" s="302"/>
      <c r="AN66" s="46">
        <v>2.8</v>
      </c>
      <c r="AO66" s="46">
        <v>50000</v>
      </c>
      <c r="AP66" s="46">
        <v>3.8</v>
      </c>
      <c r="AS66" s="169">
        <f>-PMT($AT$10,Z63,T66)</f>
        <v>1.3352895437254428</v>
      </c>
      <c r="AT66" s="46">
        <f t="shared" si="10"/>
        <v>5000</v>
      </c>
      <c r="AU66" s="171">
        <f t="shared" si="34"/>
        <v>267.05790874508858</v>
      </c>
      <c r="AV66" s="171">
        <f t="shared" si="39"/>
        <v>74.5</v>
      </c>
      <c r="AW66" s="171">
        <f t="shared" si="40"/>
        <v>28.309999999999995</v>
      </c>
      <c r="AX66" s="171">
        <f t="array" aca="1" ref="AX66" ca="1">3.6*FuelPriceRAMSES!$Z$58*INDEX(FuelPriceRAMSES!$R$33:$R$63,MATCH(RIGHT(INDIRECT("E"&amp;ROW()),2),RIGHT(FuelPriceRAMSES!$Q$33:$Q$63,2),0))</f>
        <v>198.16703999999999</v>
      </c>
      <c r="AY66" s="171">
        <f t="shared" si="35"/>
        <v>3.4364261168384882</v>
      </c>
      <c r="AZ66" s="318">
        <v>1.2</v>
      </c>
      <c r="BA66" s="171">
        <f t="shared" si="36"/>
        <v>0.41270803854187765</v>
      </c>
      <c r="BB66" s="171">
        <f t="shared" ca="1" si="41"/>
        <v>599.2012613705275</v>
      </c>
      <c r="BC66" s="258">
        <f t="shared" ca="1" si="42"/>
        <v>969.06917011561609</v>
      </c>
    </row>
    <row r="67" spans="1:59">
      <c r="A67" s="74" t="s">
        <v>448</v>
      </c>
      <c r="B67" s="83" t="s">
        <v>207</v>
      </c>
      <c r="C67" s="74" t="s">
        <v>381</v>
      </c>
      <c r="D67" s="75" t="s">
        <v>26</v>
      </c>
      <c r="E67" s="398" t="s">
        <v>551</v>
      </c>
      <c r="F67" s="74">
        <v>2015</v>
      </c>
      <c r="G67" s="74">
        <v>2015</v>
      </c>
      <c r="H67" s="76">
        <v>23.1</v>
      </c>
      <c r="I67" s="74"/>
      <c r="J67" s="74"/>
      <c r="K67" s="77">
        <v>0.28899999999999998</v>
      </c>
      <c r="L67" s="77"/>
      <c r="M67" s="77"/>
      <c r="O67" s="78">
        <f t="shared" si="14"/>
        <v>1.1389999999999998</v>
      </c>
      <c r="P67" s="77">
        <v>0.34</v>
      </c>
      <c r="Q67" s="78">
        <f t="shared" si="15"/>
        <v>2.9411764705882351</v>
      </c>
      <c r="R67" s="78"/>
      <c r="S67" s="78"/>
      <c r="T67" s="306">
        <f t="shared" si="19"/>
        <v>29.055</v>
      </c>
      <c r="U67" s="306">
        <f t="shared" si="20"/>
        <v>1.1174999999999999</v>
      </c>
      <c r="V67" s="306">
        <f t="shared" si="21"/>
        <v>7.863888888888888</v>
      </c>
      <c r="W67" s="78">
        <v>3.1536000000000002E-2</v>
      </c>
      <c r="X67" s="77">
        <v>0.95</v>
      </c>
      <c r="Y67" s="78">
        <v>1</v>
      </c>
      <c r="Z67" s="80">
        <v>25</v>
      </c>
      <c r="AA67" s="79">
        <v>90</v>
      </c>
      <c r="AB67" s="79">
        <v>3</v>
      </c>
      <c r="AC67" s="79">
        <v>1</v>
      </c>
      <c r="AD67" s="79">
        <v>1.9</v>
      </c>
      <c r="AE67" s="79"/>
      <c r="AF67" s="306">
        <v>2.5</v>
      </c>
      <c r="AI67" s="46"/>
      <c r="AJ67" s="397" t="s">
        <v>586</v>
      </c>
      <c r="AK67" s="404">
        <v>42958</v>
      </c>
      <c r="AL67" s="405" t="s">
        <v>576</v>
      </c>
      <c r="AM67" s="302"/>
      <c r="AN67" s="46">
        <v>3.9</v>
      </c>
      <c r="AO67" s="46">
        <v>150000</v>
      </c>
      <c r="AP67" s="46">
        <v>3.8</v>
      </c>
      <c r="AS67" s="169">
        <f>-PMT($AT$10,Z67,T67)</f>
        <v>1.8598675787604384</v>
      </c>
      <c r="AT67" s="46">
        <f>AT54</f>
        <v>5000</v>
      </c>
      <c r="AU67" s="171">
        <f t="shared" si="6"/>
        <v>371.97351575208768</v>
      </c>
      <c r="AV67" s="171">
        <f t="shared" si="16"/>
        <v>223.49999999999997</v>
      </c>
      <c r="AW67" s="171">
        <f t="shared" si="17"/>
        <v>28.309999999999995</v>
      </c>
      <c r="AX67" s="171">
        <f t="array" aca="1" ref="AX67" ca="1">3.6*FuelPriceRAMSES!$Z$38*INDEX(FuelPriceRAMSES!$R$33:$R$63,MATCH(RIGHT(INDIRECT("E"&amp;ROW()),2),RIGHT(FuelPriceRAMSES!$Q$33:$Q$63,2),0))</f>
        <v>171.14868884210532</v>
      </c>
      <c r="AY67" s="171">
        <f t="shared" si="18"/>
        <v>3.4602076124567476</v>
      </c>
      <c r="AZ67" s="318">
        <v>1.2</v>
      </c>
      <c r="BA67" s="171">
        <f t="shared" si="7"/>
        <v>0.43252595155709378</v>
      </c>
      <c r="BB67" s="171">
        <f ca="1">AX67*(AY67-BA67)</f>
        <v>518.18374649426346</v>
      </c>
      <c r="BC67" s="258">
        <f ca="1">AU67+AV67+AW67+BB67</f>
        <v>1141.9672622463511</v>
      </c>
    </row>
    <row r="68" spans="1:59">
      <c r="A68" s="74"/>
      <c r="B68" s="74"/>
      <c r="C68" s="74"/>
      <c r="D68" s="75" t="s">
        <v>99</v>
      </c>
      <c r="E68" s="398" t="s">
        <v>551</v>
      </c>
      <c r="F68" s="74">
        <v>2020</v>
      </c>
      <c r="G68" s="74"/>
      <c r="H68" s="74"/>
      <c r="I68" s="74"/>
      <c r="J68" s="74"/>
      <c r="K68" s="77">
        <v>0.28899999999999998</v>
      </c>
      <c r="L68" s="77"/>
      <c r="M68" s="77"/>
      <c r="O68" s="78">
        <f t="shared" si="14"/>
        <v>1.1389999999999998</v>
      </c>
      <c r="P68" s="77">
        <v>0.34</v>
      </c>
      <c r="Q68" s="78">
        <f t="shared" si="15"/>
        <v>2.9411764705882351</v>
      </c>
      <c r="R68" s="78"/>
      <c r="S68" s="78"/>
      <c r="T68" s="306">
        <f t="shared" si="19"/>
        <v>28.31</v>
      </c>
      <c r="U68" s="306">
        <f t="shared" si="20"/>
        <v>1.0429999999999999</v>
      </c>
      <c r="V68" s="306">
        <f t="shared" si="21"/>
        <v>7.863888888888888</v>
      </c>
      <c r="W68" s="78"/>
      <c r="X68" s="78"/>
      <c r="Y68" s="78"/>
      <c r="Z68" s="81"/>
      <c r="AA68" s="79">
        <v>70</v>
      </c>
      <c r="AB68" s="79">
        <v>2</v>
      </c>
      <c r="AC68" s="79">
        <v>1</v>
      </c>
      <c r="AD68" s="79">
        <v>1.9</v>
      </c>
      <c r="AE68" s="79"/>
      <c r="AF68" s="306"/>
      <c r="AI68" s="46"/>
      <c r="AJ68" s="397" t="s">
        <v>586</v>
      </c>
      <c r="AK68" s="404">
        <v>42958</v>
      </c>
      <c r="AL68" s="405" t="s">
        <v>576</v>
      </c>
      <c r="AM68" s="302"/>
      <c r="AN68" s="46">
        <v>3.8</v>
      </c>
      <c r="AO68" s="46">
        <v>140000</v>
      </c>
      <c r="AP68" s="46">
        <v>3.8</v>
      </c>
      <c r="AS68" s="169">
        <f>-PMT($AT$10,Z67,T68)</f>
        <v>1.8121786664845296</v>
      </c>
      <c r="AT68" s="46">
        <f t="shared" si="10"/>
        <v>5000</v>
      </c>
      <c r="AU68" s="171">
        <f t="shared" si="6"/>
        <v>362.43573329690594</v>
      </c>
      <c r="AV68" s="171">
        <f t="shared" si="16"/>
        <v>208.59999999999997</v>
      </c>
      <c r="AW68" s="171">
        <f t="shared" si="17"/>
        <v>28.309999999999995</v>
      </c>
      <c r="AX68" s="171">
        <f t="array" aca="1" ref="AX68" ca="1">3.6*FuelPriceRAMSES!$Z$43*INDEX(FuelPriceRAMSES!$R$33:$R$63,MATCH(RIGHT(INDIRECT("E"&amp;ROW()),2),RIGHT(FuelPriceRAMSES!$Q$33:$Q$63,2),0))</f>
        <v>178.49088</v>
      </c>
      <c r="AY68" s="171">
        <f t="shared" si="18"/>
        <v>3.4602076124567476</v>
      </c>
      <c r="AZ68" s="318">
        <v>1.2</v>
      </c>
      <c r="BA68" s="171">
        <f t="shared" si="7"/>
        <v>0.43252595155709378</v>
      </c>
      <c r="BB68" s="171">
        <f t="shared" ca="1" si="11"/>
        <v>540.41356401384087</v>
      </c>
      <c r="BC68" s="258">
        <f t="shared" ca="1" si="9"/>
        <v>1139.7592973107467</v>
      </c>
    </row>
    <row r="69" spans="1:59">
      <c r="A69" s="74"/>
      <c r="B69" s="74"/>
      <c r="C69" s="74"/>
      <c r="D69" s="75"/>
      <c r="E69" s="398" t="s">
        <v>551</v>
      </c>
      <c r="F69" s="74">
        <v>2030</v>
      </c>
      <c r="G69" s="74"/>
      <c r="H69" s="74"/>
      <c r="I69" s="74"/>
      <c r="J69" s="74"/>
      <c r="K69" s="77">
        <v>0.28999999999999998</v>
      </c>
      <c r="L69" s="77"/>
      <c r="M69" s="77"/>
      <c r="O69" s="78">
        <f t="shared" si="14"/>
        <v>1.1185714285714285</v>
      </c>
      <c r="P69" s="77">
        <v>0.35</v>
      </c>
      <c r="Q69" s="78">
        <f t="shared" si="15"/>
        <v>2.8571428571428572</v>
      </c>
      <c r="R69" s="78"/>
      <c r="S69" s="78"/>
      <c r="T69" s="306">
        <f t="shared" si="19"/>
        <v>26.82</v>
      </c>
      <c r="U69" s="306">
        <f t="shared" si="20"/>
        <v>0.96850000000000003</v>
      </c>
      <c r="V69" s="306">
        <f t="shared" si="21"/>
        <v>7.863888888888888</v>
      </c>
      <c r="W69" s="78"/>
      <c r="X69" s="78"/>
      <c r="Y69" s="78"/>
      <c r="Z69" s="81"/>
      <c r="AA69" s="79">
        <v>40</v>
      </c>
      <c r="AB69" s="79">
        <v>2</v>
      </c>
      <c r="AC69" s="79">
        <v>1</v>
      </c>
      <c r="AD69" s="79">
        <v>1.9</v>
      </c>
      <c r="AE69" s="79"/>
      <c r="AF69" s="306"/>
      <c r="AI69" s="46"/>
      <c r="AJ69" s="397" t="s">
        <v>586</v>
      </c>
      <c r="AK69" s="404">
        <v>42958</v>
      </c>
      <c r="AL69" s="405" t="s">
        <v>576</v>
      </c>
      <c r="AM69" s="302"/>
      <c r="AN69" s="46">
        <v>3.6</v>
      </c>
      <c r="AO69" s="46">
        <v>130000</v>
      </c>
      <c r="AP69" s="46">
        <v>3.8</v>
      </c>
      <c r="AS69" s="169">
        <f>-PMT($AT$10,Z67,T69)</f>
        <v>1.7168008419327125</v>
      </c>
      <c r="AT69" s="46">
        <f t="shared" si="10"/>
        <v>5000</v>
      </c>
      <c r="AU69" s="171">
        <f t="shared" si="6"/>
        <v>343.36016838654251</v>
      </c>
      <c r="AV69" s="171">
        <f t="shared" si="16"/>
        <v>193.7</v>
      </c>
      <c r="AW69" s="171">
        <f t="shared" si="17"/>
        <v>28.309999999999995</v>
      </c>
      <c r="AX69" s="171">
        <f t="array" aca="1" ref="AX69" ca="1">3.6*FuelPriceRAMSES!$Z$53*INDEX(FuelPriceRAMSES!$R$33:$R$63,MATCH(RIGHT(INDIRECT("E"&amp;ROW()),2),RIGHT(FuelPriceRAMSES!$Q$33:$Q$63,2),0))</f>
        <v>193.59936000000002</v>
      </c>
      <c r="AY69" s="171">
        <f t="shared" si="18"/>
        <v>3.4482758620689657</v>
      </c>
      <c r="AZ69" s="318">
        <v>1.2</v>
      </c>
      <c r="BA69" s="171">
        <f t="shared" si="7"/>
        <v>0.49261083743842382</v>
      </c>
      <c r="BB69" s="171">
        <f t="shared" ca="1" si="11"/>
        <v>572.21485714285723</v>
      </c>
      <c r="BC69" s="258">
        <f t="shared" ca="1" si="9"/>
        <v>1137.5850255293997</v>
      </c>
    </row>
    <row r="70" spans="1:59">
      <c r="A70" s="74"/>
      <c r="B70" s="74"/>
      <c r="C70" s="74"/>
      <c r="D70" s="75"/>
      <c r="E70" s="398" t="s">
        <v>551</v>
      </c>
      <c r="F70" s="74">
        <v>2050</v>
      </c>
      <c r="G70" s="74"/>
      <c r="H70" s="74"/>
      <c r="I70" s="74"/>
      <c r="J70" s="74"/>
      <c r="K70" s="77">
        <v>0.28499999999999998</v>
      </c>
      <c r="L70" s="77"/>
      <c r="M70" s="77"/>
      <c r="O70" s="78">
        <f t="shared" si="14"/>
        <v>1.1232352941176469</v>
      </c>
      <c r="P70" s="77">
        <v>0.34</v>
      </c>
      <c r="Q70" s="78">
        <f>1/P70</f>
        <v>2.9411764705882351</v>
      </c>
      <c r="R70" s="78"/>
      <c r="S70" s="78"/>
      <c r="T70" s="306">
        <f t="shared" si="19"/>
        <v>24.585000000000001</v>
      </c>
      <c r="U70" s="306">
        <f t="shared" si="20"/>
        <v>0.89400000000000002</v>
      </c>
      <c r="V70" s="306">
        <f t="shared" si="21"/>
        <v>8.0708333333333329</v>
      </c>
      <c r="W70" s="78"/>
      <c r="X70" s="78"/>
      <c r="Y70" s="78"/>
      <c r="Z70" s="81"/>
      <c r="AA70" s="79">
        <v>20</v>
      </c>
      <c r="AB70" s="79">
        <v>1</v>
      </c>
      <c r="AC70" s="79">
        <v>0</v>
      </c>
      <c r="AD70" s="79">
        <v>1.9</v>
      </c>
      <c r="AE70" s="79"/>
      <c r="AF70" s="306"/>
      <c r="AI70" s="46"/>
      <c r="AJ70" s="397" t="s">
        <v>586</v>
      </c>
      <c r="AK70" s="404">
        <v>42958</v>
      </c>
      <c r="AL70" s="405" t="s">
        <v>576</v>
      </c>
      <c r="AM70" s="302"/>
      <c r="AN70" s="46">
        <v>3.3</v>
      </c>
      <c r="AO70" s="46">
        <v>120000</v>
      </c>
      <c r="AP70" s="46">
        <v>3.9</v>
      </c>
      <c r="AS70" s="169">
        <f>-PMT($AT$10,Z67,T70)</f>
        <v>1.5737341051049865</v>
      </c>
      <c r="AT70" s="46">
        <f t="shared" si="10"/>
        <v>5000</v>
      </c>
      <c r="AU70" s="171">
        <f t="shared" si="6"/>
        <v>314.74682102099729</v>
      </c>
      <c r="AV70" s="171">
        <f t="shared" si="16"/>
        <v>178.8</v>
      </c>
      <c r="AW70" s="171">
        <f t="shared" si="17"/>
        <v>29.055</v>
      </c>
      <c r="AX70" s="171">
        <f t="array" aca="1" ref="AX70" ca="1">3.6*FuelPriceRAMSES!$Z$58*INDEX(FuelPriceRAMSES!$R$33:$R$63,MATCH(RIGHT(INDIRECT("E"&amp;ROW()),2),RIGHT(FuelPriceRAMSES!$Q$33:$Q$63,2),0))</f>
        <v>198.16703999999999</v>
      </c>
      <c r="AY70" s="171">
        <f t="shared" si="18"/>
        <v>3.5087719298245617</v>
      </c>
      <c r="AZ70" s="318">
        <v>1.2</v>
      </c>
      <c r="BA70" s="171">
        <f t="shared" si="7"/>
        <v>0.4729962160302722</v>
      </c>
      <c r="BB70" s="171">
        <f t="shared" ca="1" si="11"/>
        <v>601.59068730650154</v>
      </c>
      <c r="BC70" s="258">
        <f t="shared" ca="1" si="9"/>
        <v>1124.1925083274987</v>
      </c>
    </row>
    <row r="71" spans="1:59">
      <c r="A71" s="74" t="s">
        <v>588</v>
      </c>
      <c r="B71" s="83" t="s">
        <v>149</v>
      </c>
      <c r="C71" s="74" t="s">
        <v>381</v>
      </c>
      <c r="D71" s="75" t="s">
        <v>26</v>
      </c>
      <c r="E71" s="398" t="s">
        <v>551</v>
      </c>
      <c r="F71" s="74">
        <v>2015</v>
      </c>
      <c r="G71" s="74">
        <v>2015</v>
      </c>
      <c r="H71" s="76">
        <v>3.2</v>
      </c>
      <c r="I71" s="74"/>
      <c r="J71" s="74"/>
      <c r="K71" s="77">
        <v>0.161</v>
      </c>
      <c r="L71" s="77"/>
      <c r="M71" s="77"/>
      <c r="O71" s="78">
        <f>(K71+K71*Q71)/(1+Q71*S71)</f>
        <v>1.1672500000000001</v>
      </c>
      <c r="P71" s="77">
        <v>0.16</v>
      </c>
      <c r="Q71" s="78">
        <f>1/P71</f>
        <v>6.25</v>
      </c>
      <c r="R71" s="78"/>
      <c r="S71" s="78"/>
      <c r="T71" s="306">
        <f t="shared" si="19"/>
        <v>46.190000000000005</v>
      </c>
      <c r="U71" s="306">
        <f t="shared" si="20"/>
        <v>2.0859999999999999</v>
      </c>
      <c r="V71" s="306">
        <f t="shared" si="21"/>
        <v>14.279166666666667</v>
      </c>
      <c r="W71" s="78">
        <v>3.1536000000000002E-2</v>
      </c>
      <c r="X71" s="77">
        <v>0.95</v>
      </c>
      <c r="Y71" s="78">
        <v>1</v>
      </c>
      <c r="Z71" s="80">
        <v>25</v>
      </c>
      <c r="AA71" s="79">
        <v>90</v>
      </c>
      <c r="AB71" s="79">
        <v>20</v>
      </c>
      <c r="AC71" s="79">
        <v>1</v>
      </c>
      <c r="AD71" s="79">
        <v>1.9</v>
      </c>
      <c r="AE71" s="79"/>
      <c r="AF71" s="306">
        <v>1</v>
      </c>
      <c r="AI71" s="46"/>
      <c r="AJ71" s="397" t="s">
        <v>586</v>
      </c>
      <c r="AK71" s="404">
        <v>42958</v>
      </c>
      <c r="AL71" s="405" t="s">
        <v>576</v>
      </c>
      <c r="AM71" s="302"/>
      <c r="AN71" s="46">
        <v>6.2</v>
      </c>
      <c r="AO71" s="46">
        <v>280000</v>
      </c>
      <c r="AP71" s="46">
        <v>6.9</v>
      </c>
      <c r="AS71" s="169">
        <f>-PMT($AT$10,Z71,T71)</f>
        <v>2.9567125611063387</v>
      </c>
      <c r="AT71" s="46">
        <f t="shared" si="10"/>
        <v>5000</v>
      </c>
      <c r="AU71" s="171">
        <f t="shared" si="6"/>
        <v>591.34251222126773</v>
      </c>
      <c r="AV71" s="171">
        <f t="shared" si="16"/>
        <v>417.19999999999993</v>
      </c>
      <c r="AW71" s="171">
        <f t="shared" si="17"/>
        <v>51.405000000000001</v>
      </c>
      <c r="AX71" s="171">
        <f t="array" aca="1" ref="AX71" ca="1">3.6*FuelPriceRAMSES!$Z$38*INDEX(FuelPriceRAMSES!$R$33:$R$63,MATCH(RIGHT(INDIRECT("E"&amp;ROW()),2),RIGHT(FuelPriceRAMSES!$Q$33:$Q$63,2),0))</f>
        <v>171.14868884210532</v>
      </c>
      <c r="AY71" s="171">
        <f>1/K71</f>
        <v>6.2111801242236027</v>
      </c>
      <c r="AZ71" s="318">
        <v>1.2</v>
      </c>
      <c r="BA71" s="171">
        <f>IF(O71=0,0,(AY71-($O$71-$K$71)*$AY$71)/$AZ$71)</f>
        <v>-3.2349896480331861E-2</v>
      </c>
      <c r="BB71" s="171">
        <f ca="1">AX71*(AY71-BA71)</f>
        <v>1068.5719767898011</v>
      </c>
      <c r="BC71" s="258">
        <f t="shared" ca="1" si="9"/>
        <v>2128.5194890110688</v>
      </c>
      <c r="BG71" s="171"/>
    </row>
    <row r="72" spans="1:59">
      <c r="A72" s="74"/>
      <c r="B72" s="74"/>
      <c r="C72" s="74"/>
      <c r="D72" s="75" t="s">
        <v>99</v>
      </c>
      <c r="E72" s="398" t="s">
        <v>551</v>
      </c>
      <c r="F72" s="74">
        <v>2020</v>
      </c>
      <c r="G72" s="74"/>
      <c r="H72" s="74"/>
      <c r="I72" s="74"/>
      <c r="J72" s="74"/>
      <c r="K72" s="77">
        <v>0.161</v>
      </c>
      <c r="L72" s="77"/>
      <c r="M72" s="77"/>
      <c r="O72" s="78">
        <f t="shared" si="14"/>
        <v>1.1672500000000001</v>
      </c>
      <c r="P72" s="77">
        <v>0.16</v>
      </c>
      <c r="Q72" s="78">
        <f t="shared" si="15"/>
        <v>6.25</v>
      </c>
      <c r="R72" s="78"/>
      <c r="S72" s="78"/>
      <c r="T72" s="306">
        <f t="shared" si="19"/>
        <v>44.7</v>
      </c>
      <c r="U72" s="306">
        <f t="shared" si="20"/>
        <v>2.0859999999999999</v>
      </c>
      <c r="V72" s="306">
        <f t="shared" si="21"/>
        <v>14.279166666666667</v>
      </c>
      <c r="W72" s="78"/>
      <c r="X72" s="78"/>
      <c r="Y72" s="78"/>
      <c r="Z72" s="81"/>
      <c r="AA72" s="79">
        <v>60</v>
      </c>
      <c r="AB72" s="79">
        <v>10</v>
      </c>
      <c r="AC72" s="79">
        <v>1</v>
      </c>
      <c r="AD72" s="79">
        <v>1.9</v>
      </c>
      <c r="AE72" s="79"/>
      <c r="AF72" s="306"/>
      <c r="AI72" s="46"/>
      <c r="AJ72" s="397" t="s">
        <v>586</v>
      </c>
      <c r="AK72" s="404">
        <v>42958</v>
      </c>
      <c r="AL72" s="405" t="s">
        <v>576</v>
      </c>
      <c r="AM72" s="302"/>
      <c r="AN72" s="46">
        <v>6</v>
      </c>
      <c r="AO72" s="46">
        <v>280000</v>
      </c>
      <c r="AP72" s="46">
        <v>6.9</v>
      </c>
      <c r="AS72" s="169">
        <f>-PMT($AT$10,Z71,T72)</f>
        <v>2.8613347365545212</v>
      </c>
      <c r="AT72" s="46">
        <f t="shared" si="10"/>
        <v>5000</v>
      </c>
      <c r="AU72" s="171">
        <f t="shared" si="6"/>
        <v>572.26694731090424</v>
      </c>
      <c r="AV72" s="171">
        <f t="shared" si="16"/>
        <v>417.19999999999993</v>
      </c>
      <c r="AW72" s="171">
        <f t="shared" si="17"/>
        <v>51.405000000000001</v>
      </c>
      <c r="AX72" s="171">
        <f t="array" aca="1" ref="AX72" ca="1">3.6*FuelPriceRAMSES!$Z$43*INDEX(FuelPriceRAMSES!$R$33:$R$63,MATCH(RIGHT(INDIRECT("E"&amp;ROW()),2),RIGHT(FuelPriceRAMSES!$Q$33:$Q$63,2),0))</f>
        <v>178.49088</v>
      </c>
      <c r="AY72" s="171">
        <f t="shared" si="18"/>
        <v>6.2111801242236027</v>
      </c>
      <c r="AZ72" s="318">
        <v>1.2</v>
      </c>
      <c r="BA72" s="171">
        <f>IF(O72=0,0,(AY72-(O72-K72)*AY72)/AZ72)</f>
        <v>-3.2349896480331861E-2</v>
      </c>
      <c r="BB72" s="171">
        <f t="shared" ca="1" si="11"/>
        <v>1114.4131677018636</v>
      </c>
      <c r="BC72" s="258">
        <f t="shared" ca="1" si="9"/>
        <v>2155.2851150127681</v>
      </c>
    </row>
    <row r="73" spans="1:59">
      <c r="A73" s="74"/>
      <c r="B73" s="74"/>
      <c r="C73" s="74"/>
      <c r="D73" s="75"/>
      <c r="E73" s="398" t="s">
        <v>551</v>
      </c>
      <c r="F73" s="74">
        <v>2030</v>
      </c>
      <c r="G73" s="74"/>
      <c r="H73" s="74"/>
      <c r="I73" s="74"/>
      <c r="J73" s="74"/>
      <c r="K73" s="77">
        <v>0.161</v>
      </c>
      <c r="L73" s="77"/>
      <c r="M73" s="77"/>
      <c r="O73" s="78">
        <f t="shared" si="14"/>
        <v>1.1672500000000001</v>
      </c>
      <c r="P73" s="77">
        <v>0.16</v>
      </c>
      <c r="Q73" s="78">
        <f t="shared" si="15"/>
        <v>6.25</v>
      </c>
      <c r="R73" s="78"/>
      <c r="S73" s="78"/>
      <c r="T73" s="306">
        <f t="shared" si="19"/>
        <v>42.465000000000003</v>
      </c>
      <c r="U73" s="306">
        <f t="shared" si="20"/>
        <v>2.0859999999999999</v>
      </c>
      <c r="V73" s="306">
        <f t="shared" si="21"/>
        <v>14.279166666666667</v>
      </c>
      <c r="W73" s="78"/>
      <c r="X73" s="78"/>
      <c r="Y73" s="78"/>
      <c r="Z73" s="81"/>
      <c r="AA73" s="79">
        <v>40</v>
      </c>
      <c r="AB73" s="79">
        <v>8</v>
      </c>
      <c r="AC73" s="79">
        <v>1</v>
      </c>
      <c r="AD73" s="79">
        <v>1.9</v>
      </c>
      <c r="AE73" s="79"/>
      <c r="AF73" s="306"/>
      <c r="AI73" s="46"/>
      <c r="AJ73" s="397" t="s">
        <v>586</v>
      </c>
      <c r="AK73" s="404">
        <v>42958</v>
      </c>
      <c r="AL73" s="405" t="s">
        <v>576</v>
      </c>
      <c r="AM73" s="302"/>
      <c r="AN73" s="46">
        <v>5.7</v>
      </c>
      <c r="AO73" s="46">
        <v>280000</v>
      </c>
      <c r="AP73" s="46">
        <v>6.9</v>
      </c>
      <c r="AS73" s="169">
        <f>-PMT($AT$10,Z71,T73)</f>
        <v>2.7182679997267951</v>
      </c>
      <c r="AT73" s="46">
        <f t="shared" si="10"/>
        <v>5000</v>
      </c>
      <c r="AU73" s="171">
        <f t="shared" si="6"/>
        <v>543.65359994535902</v>
      </c>
      <c r="AV73" s="171">
        <f t="shared" si="16"/>
        <v>417.19999999999993</v>
      </c>
      <c r="AW73" s="171">
        <f t="shared" si="17"/>
        <v>51.405000000000001</v>
      </c>
      <c r="AX73" s="171">
        <f t="array" aca="1" ref="AX73" ca="1">3.6*FuelPriceRAMSES!$Z$53*INDEX(FuelPriceRAMSES!$R$33:$R$63,MATCH(RIGHT(INDIRECT("E"&amp;ROW()),2),RIGHT(FuelPriceRAMSES!$Q$33:$Q$63,2),0))</f>
        <v>193.59936000000002</v>
      </c>
      <c r="AY73" s="171">
        <f t="shared" si="18"/>
        <v>6.2111801242236027</v>
      </c>
      <c r="AZ73" s="318">
        <v>1.2</v>
      </c>
      <c r="BA73" s="171">
        <f t="shared" si="7"/>
        <v>-3.2349896480331861E-2</v>
      </c>
      <c r="BB73" s="171">
        <f t="shared" ca="1" si="11"/>
        <v>1208.7434161490685</v>
      </c>
      <c r="BC73" s="258">
        <f t="shared" ca="1" si="9"/>
        <v>2221.0020160944273</v>
      </c>
    </row>
    <row r="74" spans="1:59">
      <c r="A74" s="74"/>
      <c r="B74" s="74"/>
      <c r="C74" s="74"/>
      <c r="D74" s="75"/>
      <c r="E74" s="398" t="s">
        <v>551</v>
      </c>
      <c r="F74" s="74">
        <v>2050</v>
      </c>
      <c r="G74" s="74"/>
      <c r="H74" s="74"/>
      <c r="I74" s="74"/>
      <c r="J74" s="74"/>
      <c r="K74" s="77">
        <v>0.161</v>
      </c>
      <c r="L74" s="77"/>
      <c r="M74" s="77"/>
      <c r="O74" s="78">
        <f t="shared" si="14"/>
        <v>1.1672500000000001</v>
      </c>
      <c r="P74" s="77">
        <v>0.16</v>
      </c>
      <c r="Q74" s="78">
        <f t="shared" si="15"/>
        <v>6.25</v>
      </c>
      <c r="R74" s="78"/>
      <c r="S74" s="78"/>
      <c r="T74" s="306">
        <f t="shared" si="19"/>
        <v>38.74</v>
      </c>
      <c r="U74" s="306">
        <f t="shared" si="20"/>
        <v>1.9370000000000001</v>
      </c>
      <c r="V74" s="306">
        <f t="shared" si="21"/>
        <v>14.279166666666667</v>
      </c>
      <c r="W74" s="78"/>
      <c r="X74" s="78"/>
      <c r="Y74" s="78"/>
      <c r="Z74" s="81"/>
      <c r="AA74" s="79">
        <v>30</v>
      </c>
      <c r="AB74" s="79">
        <v>4</v>
      </c>
      <c r="AC74" s="79">
        <v>0</v>
      </c>
      <c r="AD74" s="79">
        <v>1.9</v>
      </c>
      <c r="AE74" s="79"/>
      <c r="AF74" s="306"/>
      <c r="AI74" s="46"/>
      <c r="AJ74" s="397" t="s">
        <v>586</v>
      </c>
      <c r="AK74" s="404">
        <v>42958</v>
      </c>
      <c r="AL74" s="405" t="s">
        <v>576</v>
      </c>
      <c r="AM74" s="302"/>
      <c r="AN74" s="46">
        <v>5.2</v>
      </c>
      <c r="AO74" s="46">
        <v>260000</v>
      </c>
      <c r="AP74" s="46">
        <v>6.9</v>
      </c>
      <c r="AS74" s="169">
        <f>-PMT($AT$10,Z71,T74)</f>
        <v>2.4798234383472515</v>
      </c>
      <c r="AT74" s="46">
        <f t="shared" si="10"/>
        <v>5000</v>
      </c>
      <c r="AU74" s="171">
        <f t="shared" si="6"/>
        <v>495.96468766945037</v>
      </c>
      <c r="AV74" s="171">
        <f t="shared" si="16"/>
        <v>387.4</v>
      </c>
      <c r="AW74" s="171">
        <f t="shared" si="17"/>
        <v>51.405000000000001</v>
      </c>
      <c r="AX74" s="171">
        <f t="array" aca="1" ref="AX74" ca="1">3.6*FuelPriceRAMSES!$Z$58*INDEX(FuelPriceRAMSES!$R$33:$R$63,MATCH(RIGHT(INDIRECT("E"&amp;ROW()),2),RIGHT(FuelPriceRAMSES!$Q$33:$Q$63,2),0))</f>
        <v>198.16703999999999</v>
      </c>
      <c r="AY74" s="171">
        <f t="shared" si="18"/>
        <v>6.2111801242236027</v>
      </c>
      <c r="AZ74" s="318">
        <v>1.2</v>
      </c>
      <c r="BA74" s="171">
        <f t="shared" si="7"/>
        <v>-3.2349896480331861E-2</v>
      </c>
      <c r="BB74" s="171">
        <f t="shared" ca="1" si="11"/>
        <v>1237.2618633540374</v>
      </c>
      <c r="BC74" s="258">
        <f t="shared" ca="1" si="9"/>
        <v>2172.0315510234877</v>
      </c>
    </row>
    <row r="75" spans="1:59">
      <c r="A75" s="372" t="s">
        <v>449</v>
      </c>
      <c r="B75" s="83" t="s">
        <v>589</v>
      </c>
      <c r="C75" s="372" t="s">
        <v>35</v>
      </c>
      <c r="D75" s="75" t="s">
        <v>26</v>
      </c>
      <c r="E75" s="398" t="s">
        <v>551</v>
      </c>
      <c r="F75" s="372">
        <v>2015</v>
      </c>
      <c r="G75" s="372">
        <v>2015</v>
      </c>
      <c r="H75" s="304">
        <v>41</v>
      </c>
      <c r="I75" s="372"/>
      <c r="J75" s="372"/>
      <c r="K75" s="77">
        <v>0.31</v>
      </c>
      <c r="L75" s="77"/>
      <c r="M75" s="77"/>
      <c r="O75" s="78">
        <f t="shared" ref="O75:O78" si="43">(K75+K75*Q75)/(1+Q75*S75)</f>
        <v>1.0145454545454546</v>
      </c>
      <c r="P75" s="77">
        <v>0.44</v>
      </c>
      <c r="Q75" s="78">
        <f t="shared" ref="Q75:Q78" si="44">1/P75</f>
        <v>2.2727272727272729</v>
      </c>
      <c r="R75" s="78"/>
      <c r="S75" s="78"/>
      <c r="T75" s="306">
        <f t="shared" si="19"/>
        <v>20.115000000000002</v>
      </c>
      <c r="U75" s="306">
        <f t="shared" si="20"/>
        <v>0.89400000000000002</v>
      </c>
      <c r="V75" s="306">
        <f t="shared" si="21"/>
        <v>3.931944444444444</v>
      </c>
      <c r="W75" s="78">
        <v>3.1536000000000002E-2</v>
      </c>
      <c r="X75" s="82">
        <v>0.95</v>
      </c>
      <c r="Y75" s="78">
        <v>1</v>
      </c>
      <c r="Z75" s="80">
        <v>25</v>
      </c>
      <c r="AA75" s="305">
        <v>80</v>
      </c>
      <c r="AB75" s="305"/>
      <c r="AC75" s="305">
        <v>1</v>
      </c>
      <c r="AD75" s="305">
        <v>49</v>
      </c>
      <c r="AE75" s="305"/>
      <c r="AF75" s="306">
        <v>3</v>
      </c>
      <c r="AI75" s="46"/>
      <c r="AJ75" s="397" t="s">
        <v>586</v>
      </c>
      <c r="AK75" s="404">
        <v>42958</v>
      </c>
      <c r="AL75" s="405" t="s">
        <v>576</v>
      </c>
      <c r="AM75" s="302"/>
      <c r="AN75" s="46">
        <v>2.7</v>
      </c>
      <c r="AO75" s="46">
        <v>120000</v>
      </c>
      <c r="AP75" s="46">
        <v>1.9</v>
      </c>
      <c r="AS75" s="169">
        <f>-PMT($AT$10,Z75,T75)</f>
        <v>1.2876006314495345</v>
      </c>
      <c r="AT75" s="46">
        <f>AT70</f>
        <v>5000</v>
      </c>
      <c r="AU75" s="171">
        <f t="shared" ref="AU75:AU78" si="45">AS75/AT75*(1000000)</f>
        <v>257.5201262899069</v>
      </c>
      <c r="AV75" s="171">
        <f t="shared" ref="AV75:AV78" si="46">U75/AT75*(1000000)</f>
        <v>178.8</v>
      </c>
      <c r="AW75" s="171">
        <f t="shared" ref="AW75:AW78" si="47">V75*1000*3.6/1000</f>
        <v>14.154999999999998</v>
      </c>
      <c r="AX75" s="171">
        <f t="array" aca="1" ref="AX75" ca="1">3.6*FuelPriceRAMSES!$Y$38*INDEX(FuelPriceRAMSES!$R$33:$R$63,MATCH(RIGHT(INDIRECT("E"&amp;ROW()),2),RIGHT(FuelPriceRAMSES!$Q$33:$Q$63,2),0))</f>
        <v>146.48999747368427</v>
      </c>
      <c r="AY75" s="171">
        <f t="shared" ref="AY75:AY78" si="48">1/K75</f>
        <v>3.2258064516129035</v>
      </c>
      <c r="AZ75" s="318">
        <v>1.2</v>
      </c>
      <c r="BA75" s="171">
        <f t="shared" ref="BA75:BA78" si="49">IF(O75=0,0,(AY75-(O75-K75)*AY75)/AZ75)</f>
        <v>0.79423264907135882</v>
      </c>
      <c r="BB75" s="171">
        <f t="shared" ref="BB75:BB78" ca="1" si="50">AX75*(AY75-BA75)</f>
        <v>356.20124019138774</v>
      </c>
      <c r="BC75" s="258">
        <f t="shared" ref="BC75:BC78" ca="1" si="51">AU75+AV75+AW75+BB75</f>
        <v>806.67636648129462</v>
      </c>
    </row>
    <row r="76" spans="1:59">
      <c r="A76" s="372"/>
      <c r="B76" s="372"/>
      <c r="C76" s="372"/>
      <c r="D76" s="75" t="s">
        <v>99</v>
      </c>
      <c r="E76" s="398" t="s">
        <v>551</v>
      </c>
      <c r="F76" s="372">
        <v>2020</v>
      </c>
      <c r="G76" s="372"/>
      <c r="H76" s="372"/>
      <c r="I76" s="372"/>
      <c r="J76" s="372"/>
      <c r="K76" s="77">
        <v>0.31</v>
      </c>
      <c r="L76" s="77"/>
      <c r="M76" s="77"/>
      <c r="O76" s="78">
        <f t="shared" si="43"/>
        <v>1.0145454545454546</v>
      </c>
      <c r="P76" s="77">
        <v>0.44</v>
      </c>
      <c r="Q76" s="78">
        <f t="shared" si="44"/>
        <v>2.2727272727272729</v>
      </c>
      <c r="R76" s="78"/>
      <c r="S76" s="78"/>
      <c r="T76" s="306">
        <f t="shared" si="19"/>
        <v>19.37</v>
      </c>
      <c r="U76" s="306">
        <f t="shared" si="20"/>
        <v>0.89400000000000002</v>
      </c>
      <c r="V76" s="306">
        <f t="shared" si="21"/>
        <v>3.931944444444444</v>
      </c>
      <c r="W76" s="78"/>
      <c r="X76" s="78"/>
      <c r="Y76" s="78"/>
      <c r="Z76" s="81"/>
      <c r="AA76" s="305">
        <v>70</v>
      </c>
      <c r="AB76" s="305"/>
      <c r="AC76" s="305">
        <v>1</v>
      </c>
      <c r="AD76" s="305">
        <v>49</v>
      </c>
      <c r="AE76" s="305"/>
      <c r="AF76" s="306"/>
      <c r="AI76" s="46"/>
      <c r="AJ76" s="397" t="s">
        <v>586</v>
      </c>
      <c r="AK76" s="404">
        <v>42958</v>
      </c>
      <c r="AL76" s="405" t="s">
        <v>576</v>
      </c>
      <c r="AM76" s="302"/>
      <c r="AN76" s="46">
        <v>2.6</v>
      </c>
      <c r="AO76" s="46">
        <v>120000</v>
      </c>
      <c r="AP76" s="46">
        <v>1.9</v>
      </c>
      <c r="AS76" s="169">
        <f>-PMT($AT$10,Z75,T76)</f>
        <v>1.2399117191736257</v>
      </c>
      <c r="AT76" s="46">
        <f t="shared" si="10"/>
        <v>5000</v>
      </c>
      <c r="AU76" s="171">
        <f t="shared" si="45"/>
        <v>247.98234383472519</v>
      </c>
      <c r="AV76" s="171">
        <f t="shared" si="46"/>
        <v>178.8</v>
      </c>
      <c r="AW76" s="171">
        <f t="shared" si="47"/>
        <v>14.154999999999998</v>
      </c>
      <c r="AX76" s="171">
        <f t="array" aca="1" ref="AX76" ca="1">3.6*FuelPriceRAMSES!$Y$43*INDEX(FuelPriceRAMSES!$R$33:$R$63,MATCH(RIGHT(INDIRECT("E"&amp;ROW()),2),RIGHT(FuelPriceRAMSES!$Q$33:$Q$63,2),0))</f>
        <v>152.8416</v>
      </c>
      <c r="AY76" s="171">
        <f t="shared" si="48"/>
        <v>3.2258064516129035</v>
      </c>
      <c r="AZ76" s="318">
        <v>1.2</v>
      </c>
      <c r="BA76" s="171">
        <f t="shared" si="49"/>
        <v>0.79423264907135882</v>
      </c>
      <c r="BB76" s="171">
        <f t="shared" ca="1" si="50"/>
        <v>371.64563049853371</v>
      </c>
      <c r="BC76" s="258">
        <f t="shared" ca="1" si="51"/>
        <v>812.5829743332589</v>
      </c>
    </row>
    <row r="77" spans="1:59">
      <c r="A77" s="372"/>
      <c r="B77" s="372"/>
      <c r="C77" s="372"/>
      <c r="D77" s="75"/>
      <c r="E77" s="398" t="s">
        <v>551</v>
      </c>
      <c r="F77" s="372">
        <v>2030</v>
      </c>
      <c r="G77" s="372"/>
      <c r="H77" s="372"/>
      <c r="I77" s="372"/>
      <c r="J77" s="372"/>
      <c r="K77" s="77">
        <v>0.311</v>
      </c>
      <c r="L77" s="77"/>
      <c r="M77" s="77"/>
      <c r="O77" s="78">
        <f t="shared" si="43"/>
        <v>1.0021111111111112</v>
      </c>
      <c r="P77" s="77">
        <v>0.45</v>
      </c>
      <c r="Q77" s="78">
        <f t="shared" si="44"/>
        <v>2.2222222222222223</v>
      </c>
      <c r="R77" s="78"/>
      <c r="S77" s="78"/>
      <c r="T77" s="306">
        <f t="shared" si="19"/>
        <v>18.625</v>
      </c>
      <c r="U77" s="306">
        <f t="shared" si="20"/>
        <v>0.81950000000000001</v>
      </c>
      <c r="V77" s="306">
        <f t="shared" si="21"/>
        <v>3.931944444444444</v>
      </c>
      <c r="W77" s="78"/>
      <c r="X77" s="78"/>
      <c r="Y77" s="78"/>
      <c r="Z77" s="81"/>
      <c r="AA77" s="305">
        <v>40</v>
      </c>
      <c r="AB77" s="305"/>
      <c r="AC77" s="305">
        <v>1</v>
      </c>
      <c r="AD77" s="305">
        <v>49</v>
      </c>
      <c r="AE77" s="305"/>
      <c r="AF77" s="306"/>
      <c r="AI77" s="46"/>
      <c r="AJ77" s="397" t="s">
        <v>586</v>
      </c>
      <c r="AK77" s="404">
        <v>42958</v>
      </c>
      <c r="AL77" s="405" t="s">
        <v>576</v>
      </c>
      <c r="AM77" s="302"/>
      <c r="AN77" s="46">
        <v>2.5</v>
      </c>
      <c r="AO77" s="46">
        <v>110000</v>
      </c>
      <c r="AP77" s="46">
        <v>1.9</v>
      </c>
      <c r="AS77" s="169">
        <f>-PMT($AT$10,Z75,T77)</f>
        <v>1.192222806897717</v>
      </c>
      <c r="AT77" s="46">
        <f t="shared" si="10"/>
        <v>5000</v>
      </c>
      <c r="AU77" s="171">
        <f t="shared" si="45"/>
        <v>238.44456137954339</v>
      </c>
      <c r="AV77" s="171">
        <f t="shared" si="46"/>
        <v>163.9</v>
      </c>
      <c r="AW77" s="171">
        <f t="shared" si="47"/>
        <v>14.154999999999998</v>
      </c>
      <c r="AX77" s="171">
        <f t="array" aca="1" ref="AX77" ca="1">3.6*FuelPriceRAMSES!$Y$53*INDEX(FuelPriceRAMSES!$R$33:$R$63,MATCH(RIGHT(INDIRECT("E"&amp;ROW()),2),RIGHT(FuelPriceRAMSES!$Q$33:$Q$63,2),0))</f>
        <v>165.84192000000002</v>
      </c>
      <c r="AY77" s="171">
        <f t="shared" si="48"/>
        <v>3.215434083601286</v>
      </c>
      <c r="AZ77" s="318">
        <v>1.2</v>
      </c>
      <c r="BA77" s="171">
        <f t="shared" si="49"/>
        <v>0.82767655114921979</v>
      </c>
      <c r="BB77" s="171">
        <f t="shared" ca="1" si="50"/>
        <v>395.990293676313</v>
      </c>
      <c r="BC77" s="258">
        <f t="shared" ca="1" si="51"/>
        <v>812.48985505585642</v>
      </c>
    </row>
    <row r="78" spans="1:59">
      <c r="A78" s="372"/>
      <c r="B78" s="372"/>
      <c r="C78" s="372"/>
      <c r="D78" s="75"/>
      <c r="E78" s="398" t="s">
        <v>551</v>
      </c>
      <c r="F78" s="372">
        <v>2050</v>
      </c>
      <c r="G78" s="372"/>
      <c r="H78" s="372"/>
      <c r="I78" s="372"/>
      <c r="J78" s="372"/>
      <c r="K78" s="77">
        <v>0.311</v>
      </c>
      <c r="L78" s="77"/>
      <c r="M78" s="77"/>
      <c r="O78" s="78">
        <f t="shared" si="43"/>
        <v>1.0021111111111112</v>
      </c>
      <c r="P78" s="77">
        <v>0.45</v>
      </c>
      <c r="Q78" s="78">
        <f t="shared" si="44"/>
        <v>2.2222222222222223</v>
      </c>
      <c r="R78" s="78"/>
      <c r="S78" s="78"/>
      <c r="T78" s="306">
        <f t="shared" si="19"/>
        <v>17.134999999999998</v>
      </c>
      <c r="U78" s="306">
        <f t="shared" si="20"/>
        <v>0.745</v>
      </c>
      <c r="V78" s="306">
        <f t="shared" si="21"/>
        <v>3.931944444444444</v>
      </c>
      <c r="W78" s="78"/>
      <c r="X78" s="78"/>
      <c r="Y78" s="78"/>
      <c r="Z78" s="81"/>
      <c r="AA78" s="305">
        <v>20</v>
      </c>
      <c r="AB78" s="305"/>
      <c r="AC78" s="305">
        <v>0</v>
      </c>
      <c r="AD78" s="305">
        <v>49</v>
      </c>
      <c r="AE78" s="305"/>
      <c r="AF78" s="306"/>
      <c r="AI78" s="46"/>
      <c r="AJ78" s="397" t="s">
        <v>586</v>
      </c>
      <c r="AK78" s="404">
        <v>42958</v>
      </c>
      <c r="AL78" s="405" t="s">
        <v>576</v>
      </c>
      <c r="AM78" s="302"/>
      <c r="AN78" s="46">
        <v>2.2999999999999998</v>
      </c>
      <c r="AO78" s="46">
        <v>100000</v>
      </c>
      <c r="AP78" s="46">
        <v>1.9</v>
      </c>
      <c r="AS78" s="169">
        <f>-PMT($AT$10,Z75,T78)</f>
        <v>1.0968449823458994</v>
      </c>
      <c r="AT78" s="46">
        <f t="shared" si="10"/>
        <v>5000</v>
      </c>
      <c r="AU78" s="171">
        <f t="shared" si="45"/>
        <v>219.36899646917988</v>
      </c>
      <c r="AV78" s="171">
        <f t="shared" si="46"/>
        <v>149</v>
      </c>
      <c r="AW78" s="171">
        <f t="shared" si="47"/>
        <v>14.154999999999998</v>
      </c>
      <c r="AX78" s="171">
        <f t="array" aca="1" ref="AX78" ca="1">3.6*FuelPriceRAMSES!$Y$58*INDEX(FuelPriceRAMSES!$R$33:$R$63,MATCH(RIGHT(INDIRECT("E"&amp;ROW()),2),RIGHT(FuelPriceRAMSES!$Q$33:$Q$63,2),0))</f>
        <v>169.70687999999998</v>
      </c>
      <c r="AY78" s="171">
        <f t="shared" si="48"/>
        <v>3.215434083601286</v>
      </c>
      <c r="AZ78" s="318">
        <v>1.2</v>
      </c>
      <c r="BA78" s="171">
        <f t="shared" si="49"/>
        <v>0.82767655114921979</v>
      </c>
      <c r="BB78" s="171">
        <f t="shared" ca="1" si="50"/>
        <v>405.21888102893888</v>
      </c>
      <c r="BC78" s="258">
        <f t="shared" ca="1" si="51"/>
        <v>787.74287749811879</v>
      </c>
    </row>
    <row r="79" spans="1:59">
      <c r="A79" s="74" t="s">
        <v>450</v>
      </c>
      <c r="B79" s="83" t="s">
        <v>216</v>
      </c>
      <c r="C79" s="74" t="s">
        <v>35</v>
      </c>
      <c r="D79" s="75" t="s">
        <v>26</v>
      </c>
      <c r="E79" s="398" t="s">
        <v>551</v>
      </c>
      <c r="F79" s="74">
        <v>2015</v>
      </c>
      <c r="G79" s="74">
        <v>2015</v>
      </c>
      <c r="H79" s="76">
        <v>24.9</v>
      </c>
      <c r="I79" s="74"/>
      <c r="J79" s="74"/>
      <c r="K79" s="77">
        <v>0.311</v>
      </c>
      <c r="L79" s="77"/>
      <c r="M79" s="77"/>
      <c r="O79" s="78">
        <f t="shared" si="14"/>
        <v>1.0021111111111112</v>
      </c>
      <c r="P79" s="77">
        <v>0.45</v>
      </c>
      <c r="Q79" s="78">
        <f t="shared" si="15"/>
        <v>2.2222222222222223</v>
      </c>
      <c r="R79" s="78"/>
      <c r="S79" s="78"/>
      <c r="T79" s="306">
        <f t="shared" si="19"/>
        <v>26.074999999999999</v>
      </c>
      <c r="U79" s="306">
        <f t="shared" si="20"/>
        <v>1.0429999999999999</v>
      </c>
      <c r="V79" s="306">
        <f t="shared" si="21"/>
        <v>3.931944444444444</v>
      </c>
      <c r="W79" s="78">
        <v>3.1536000000000002E-2</v>
      </c>
      <c r="X79" s="82">
        <v>0.95</v>
      </c>
      <c r="Y79" s="78">
        <v>1</v>
      </c>
      <c r="Z79" s="80">
        <v>25</v>
      </c>
      <c r="AA79" s="79">
        <v>90</v>
      </c>
      <c r="AB79" s="305"/>
      <c r="AC79" s="79">
        <v>1</v>
      </c>
      <c r="AD79" s="305">
        <v>49</v>
      </c>
      <c r="AE79" s="79"/>
      <c r="AF79" s="306">
        <v>2.5</v>
      </c>
      <c r="AI79" s="46"/>
      <c r="AJ79" s="397" t="s">
        <v>586</v>
      </c>
      <c r="AK79" s="404">
        <v>42958</v>
      </c>
      <c r="AL79" s="405" t="s">
        <v>576</v>
      </c>
      <c r="AM79" s="302"/>
      <c r="AN79" s="46">
        <v>3.5</v>
      </c>
      <c r="AO79" s="46">
        <v>140000</v>
      </c>
      <c r="AP79" s="46">
        <v>1.9</v>
      </c>
      <c r="AS79" s="169">
        <f>-PMT($AT$10,Z79,T79)</f>
        <v>1.669111929656804</v>
      </c>
      <c r="AT79" s="46">
        <f>AT74</f>
        <v>5000</v>
      </c>
      <c r="AU79" s="171">
        <f t="shared" si="6"/>
        <v>333.82238593136083</v>
      </c>
      <c r="AV79" s="171">
        <f t="shared" si="16"/>
        <v>208.59999999999997</v>
      </c>
      <c r="AW79" s="171">
        <f t="shared" si="17"/>
        <v>14.154999999999998</v>
      </c>
      <c r="AX79" s="171">
        <f t="array" aca="1" ref="AX79" ca="1">3.6*FuelPriceRAMSES!$Y$38*INDEX(FuelPriceRAMSES!$R$33:$R$63,MATCH(RIGHT(INDIRECT("E"&amp;ROW()),2),RIGHT(FuelPriceRAMSES!$Q$33:$Q$63,2),0))</f>
        <v>146.48999747368427</v>
      </c>
      <c r="AY79" s="171">
        <f t="shared" si="18"/>
        <v>3.215434083601286</v>
      </c>
      <c r="AZ79" s="318">
        <v>1.2</v>
      </c>
      <c r="BA79" s="171">
        <f t="shared" si="7"/>
        <v>0.82767655114921979</v>
      </c>
      <c r="BB79" s="171">
        <f t="shared" ca="1" si="11"/>
        <v>349.78259489667374</v>
      </c>
      <c r="BC79" s="258">
        <f t="shared" ca="1" si="9"/>
        <v>906.35998082803462</v>
      </c>
    </row>
    <row r="80" spans="1:59">
      <c r="A80" s="74"/>
      <c r="B80" s="372"/>
      <c r="C80" s="74"/>
      <c r="D80" s="75" t="s">
        <v>99</v>
      </c>
      <c r="E80" s="398" t="s">
        <v>551</v>
      </c>
      <c r="F80" s="74">
        <v>2020</v>
      </c>
      <c r="G80" s="74"/>
      <c r="H80" s="74"/>
      <c r="I80" s="74"/>
      <c r="J80" s="74"/>
      <c r="K80" s="77">
        <v>0.311</v>
      </c>
      <c r="L80" s="77"/>
      <c r="M80" s="77"/>
      <c r="O80" s="78">
        <f t="shared" si="14"/>
        <v>1.0021111111111112</v>
      </c>
      <c r="P80" s="77">
        <v>0.45</v>
      </c>
      <c r="Q80" s="78">
        <f t="shared" si="15"/>
        <v>2.2222222222222223</v>
      </c>
      <c r="R80" s="78"/>
      <c r="S80" s="78"/>
      <c r="T80" s="306">
        <f t="shared" si="19"/>
        <v>25.33</v>
      </c>
      <c r="U80" s="306">
        <f t="shared" si="20"/>
        <v>1.0429999999999999</v>
      </c>
      <c r="V80" s="306">
        <f t="shared" si="21"/>
        <v>3.931944444444444</v>
      </c>
      <c r="W80" s="78"/>
      <c r="X80" s="78"/>
      <c r="Y80" s="78"/>
      <c r="Z80" s="81"/>
      <c r="AA80" s="79">
        <v>70</v>
      </c>
      <c r="AB80" s="305"/>
      <c r="AC80" s="79">
        <v>1</v>
      </c>
      <c r="AD80" s="305">
        <v>49</v>
      </c>
      <c r="AE80" s="79"/>
      <c r="AF80" s="306"/>
      <c r="AI80" s="46"/>
      <c r="AJ80" s="397" t="s">
        <v>586</v>
      </c>
      <c r="AK80" s="404">
        <v>42958</v>
      </c>
      <c r="AL80" s="405" t="s">
        <v>576</v>
      </c>
      <c r="AM80" s="302"/>
      <c r="AN80" s="46">
        <v>3.4</v>
      </c>
      <c r="AO80" s="46">
        <v>140000</v>
      </c>
      <c r="AP80" s="46">
        <v>1.9</v>
      </c>
      <c r="AS80" s="169">
        <f>-PMT($AT$10,Z79,T80)</f>
        <v>1.6214230173808952</v>
      </c>
      <c r="AT80" s="46">
        <f t="shared" si="10"/>
        <v>5000</v>
      </c>
      <c r="AU80" s="171">
        <f t="shared" si="6"/>
        <v>324.28460347617909</v>
      </c>
      <c r="AV80" s="171">
        <f t="shared" si="16"/>
        <v>208.59999999999997</v>
      </c>
      <c r="AW80" s="171">
        <f t="shared" si="17"/>
        <v>14.154999999999998</v>
      </c>
      <c r="AX80" s="171">
        <f t="array" aca="1" ref="AX80" ca="1">3.6*FuelPriceRAMSES!$Y$43*INDEX(FuelPriceRAMSES!$R$33:$R$63,MATCH(RIGHT(INDIRECT("E"&amp;ROW()),2),RIGHT(FuelPriceRAMSES!$Q$33:$Q$63,2),0))</f>
        <v>152.8416</v>
      </c>
      <c r="AY80" s="171">
        <f t="shared" si="18"/>
        <v>3.215434083601286</v>
      </c>
      <c r="AZ80" s="318">
        <v>1.2</v>
      </c>
      <c r="BA80" s="171">
        <f t="shared" si="7"/>
        <v>0.82767655114921979</v>
      </c>
      <c r="BB80" s="171">
        <f t="shared" ca="1" si="11"/>
        <v>364.94868167202571</v>
      </c>
      <c r="BC80" s="258">
        <f t="shared" ca="1" si="9"/>
        <v>911.9882851482048</v>
      </c>
    </row>
    <row r="81" spans="1:55">
      <c r="A81" s="74"/>
      <c r="B81" s="74"/>
      <c r="C81" s="74"/>
      <c r="D81" s="75"/>
      <c r="E81" s="398" t="s">
        <v>551</v>
      </c>
      <c r="F81" s="74">
        <v>2030</v>
      </c>
      <c r="G81" s="74"/>
      <c r="H81" s="74"/>
      <c r="I81" s="74"/>
      <c r="J81" s="74"/>
      <c r="K81" s="77">
        <v>0.308</v>
      </c>
      <c r="L81" s="77"/>
      <c r="M81" s="77"/>
      <c r="O81" s="78">
        <f t="shared" si="14"/>
        <v>1.008</v>
      </c>
      <c r="P81" s="77">
        <v>0.44</v>
      </c>
      <c r="Q81" s="78">
        <f t="shared" si="15"/>
        <v>2.2727272727272729</v>
      </c>
      <c r="R81" s="78"/>
      <c r="S81" s="78"/>
      <c r="T81" s="306">
        <f t="shared" si="19"/>
        <v>24.585000000000001</v>
      </c>
      <c r="U81" s="306">
        <f t="shared" si="20"/>
        <v>0.96850000000000003</v>
      </c>
      <c r="V81" s="306">
        <f t="shared" si="21"/>
        <v>3.931944444444444</v>
      </c>
      <c r="W81" s="78"/>
      <c r="X81" s="78"/>
      <c r="Y81" s="78"/>
      <c r="Z81" s="81"/>
      <c r="AA81" s="79">
        <v>50</v>
      </c>
      <c r="AB81" s="305"/>
      <c r="AC81" s="79">
        <v>1</v>
      </c>
      <c r="AD81" s="305">
        <v>49</v>
      </c>
      <c r="AE81" s="79"/>
      <c r="AF81" s="306"/>
      <c r="AI81" s="46"/>
      <c r="AJ81" s="397" t="s">
        <v>586</v>
      </c>
      <c r="AK81" s="404">
        <v>42958</v>
      </c>
      <c r="AL81" s="405" t="s">
        <v>576</v>
      </c>
      <c r="AM81" s="302"/>
      <c r="AN81" s="46">
        <v>3.3</v>
      </c>
      <c r="AO81" s="46">
        <v>130000</v>
      </c>
      <c r="AP81" s="46">
        <v>1.9</v>
      </c>
      <c r="AS81" s="169">
        <f>-PMT($AT$10,Z79,T81)</f>
        <v>1.5737341051049865</v>
      </c>
      <c r="AT81" s="46">
        <f t="shared" si="10"/>
        <v>5000</v>
      </c>
      <c r="AU81" s="171">
        <f t="shared" si="6"/>
        <v>314.74682102099729</v>
      </c>
      <c r="AV81" s="171">
        <f t="shared" si="16"/>
        <v>193.7</v>
      </c>
      <c r="AW81" s="171">
        <f t="shared" si="17"/>
        <v>14.154999999999998</v>
      </c>
      <c r="AX81" s="171">
        <f t="array" aca="1" ref="AX81" ca="1">3.6*FuelPriceRAMSES!$Y$53*INDEX(FuelPriceRAMSES!$R$33:$R$63,MATCH(RIGHT(INDIRECT("E"&amp;ROW()),2),RIGHT(FuelPriceRAMSES!$Q$33:$Q$63,2),0))</f>
        <v>165.84192000000002</v>
      </c>
      <c r="AY81" s="171">
        <f t="shared" si="18"/>
        <v>3.2467532467532467</v>
      </c>
      <c r="AZ81" s="318">
        <v>1.2</v>
      </c>
      <c r="BA81" s="171">
        <f t="shared" si="7"/>
        <v>0.8116883116883119</v>
      </c>
      <c r="BB81" s="171">
        <f t="shared" ca="1" si="11"/>
        <v>403.8358441558442</v>
      </c>
      <c r="BC81" s="258">
        <f t="shared" ca="1" si="9"/>
        <v>926.43766517684139</v>
      </c>
    </row>
    <row r="82" spans="1:55">
      <c r="A82" s="74"/>
      <c r="B82" s="74"/>
      <c r="C82" s="74"/>
      <c r="D82" s="75"/>
      <c r="E82" s="398" t="s">
        <v>551</v>
      </c>
      <c r="F82" s="74">
        <v>2050</v>
      </c>
      <c r="G82" s="74"/>
      <c r="H82" s="74"/>
      <c r="I82" s="74"/>
      <c r="J82" s="74"/>
      <c r="K82" s="77">
        <v>0.308</v>
      </c>
      <c r="L82" s="77"/>
      <c r="M82" s="77"/>
      <c r="O82" s="78">
        <f t="shared" si="14"/>
        <v>1.008</v>
      </c>
      <c r="P82" s="77">
        <v>0.44</v>
      </c>
      <c r="Q82" s="78">
        <f t="shared" si="15"/>
        <v>2.2727272727272729</v>
      </c>
      <c r="R82" s="78"/>
      <c r="S82" s="78"/>
      <c r="T82" s="306">
        <f t="shared" si="19"/>
        <v>22.35</v>
      </c>
      <c r="U82" s="306">
        <f t="shared" si="20"/>
        <v>0.89400000000000002</v>
      </c>
      <c r="V82" s="306">
        <f t="shared" si="21"/>
        <v>3.931944444444444</v>
      </c>
      <c r="W82" s="78"/>
      <c r="X82" s="78"/>
      <c r="Y82" s="78"/>
      <c r="Z82" s="81"/>
      <c r="AA82" s="79">
        <v>30</v>
      </c>
      <c r="AB82" s="305"/>
      <c r="AC82" s="79">
        <v>0</v>
      </c>
      <c r="AD82" s="305">
        <v>49</v>
      </c>
      <c r="AE82" s="79"/>
      <c r="AF82" s="306"/>
      <c r="AI82" s="46"/>
      <c r="AJ82" s="397" t="s">
        <v>586</v>
      </c>
      <c r="AK82" s="404">
        <v>42958</v>
      </c>
      <c r="AL82" s="405" t="s">
        <v>576</v>
      </c>
      <c r="AM82" s="302"/>
      <c r="AN82" s="46">
        <v>3</v>
      </c>
      <c r="AO82" s="46">
        <v>120000</v>
      </c>
      <c r="AP82" s="46">
        <v>1.9</v>
      </c>
      <c r="AS82" s="169">
        <f>-PMT($AT$10,Z79,T82)</f>
        <v>1.4306673682772606</v>
      </c>
      <c r="AT82" s="46">
        <f t="shared" si="10"/>
        <v>5000</v>
      </c>
      <c r="AU82" s="171">
        <f t="shared" si="6"/>
        <v>286.13347365545212</v>
      </c>
      <c r="AV82" s="171">
        <f t="shared" si="16"/>
        <v>178.8</v>
      </c>
      <c r="AW82" s="171">
        <f t="shared" si="17"/>
        <v>14.154999999999998</v>
      </c>
      <c r="AX82" s="171">
        <f t="array" aca="1" ref="AX82" ca="1">3.6*FuelPriceRAMSES!$Y$58*INDEX(FuelPriceRAMSES!$R$33:$R$63,MATCH(RIGHT(INDIRECT("E"&amp;ROW()),2),RIGHT(FuelPriceRAMSES!$Q$33:$Q$63,2),0))</f>
        <v>169.70687999999998</v>
      </c>
      <c r="AY82" s="171">
        <f t="shared" si="18"/>
        <v>3.2467532467532467</v>
      </c>
      <c r="AZ82" s="318">
        <v>1.2</v>
      </c>
      <c r="BA82" s="171">
        <f t="shared" si="7"/>
        <v>0.8116883116883119</v>
      </c>
      <c r="BB82" s="171">
        <f t="shared" ca="1" si="11"/>
        <v>413.24727272727267</v>
      </c>
      <c r="BC82" s="258">
        <f t="shared" ca="1" si="9"/>
        <v>892.33574638272478</v>
      </c>
    </row>
    <row r="83" spans="1:55">
      <c r="A83" s="74" t="s">
        <v>590</v>
      </c>
      <c r="B83" s="83" t="s">
        <v>150</v>
      </c>
      <c r="C83" s="74" t="s">
        <v>35</v>
      </c>
      <c r="D83" s="75" t="s">
        <v>26</v>
      </c>
      <c r="E83" s="398" t="s">
        <v>551</v>
      </c>
      <c r="F83" s="74">
        <v>2015</v>
      </c>
      <c r="G83" s="74">
        <v>2015</v>
      </c>
      <c r="H83" s="76">
        <v>3.3</v>
      </c>
      <c r="I83" s="74"/>
      <c r="J83" s="74"/>
      <c r="K83" s="77">
        <v>0.16700000000000001</v>
      </c>
      <c r="L83" s="77"/>
      <c r="M83" s="77"/>
      <c r="O83" s="78">
        <f t="shared" si="14"/>
        <v>1.0459473684210527</v>
      </c>
      <c r="P83" s="77">
        <v>0.19</v>
      </c>
      <c r="Q83" s="78">
        <f t="shared" si="15"/>
        <v>5.2631578947368425</v>
      </c>
      <c r="R83" s="78"/>
      <c r="S83" s="78"/>
      <c r="T83" s="306">
        <f t="shared" si="19"/>
        <v>42.465000000000003</v>
      </c>
      <c r="U83" s="306">
        <f t="shared" si="20"/>
        <v>1.9370000000000001</v>
      </c>
      <c r="V83" s="306">
        <f t="shared" si="21"/>
        <v>7.45</v>
      </c>
      <c r="W83" s="78">
        <v>3.1536000000000002E-2</v>
      </c>
      <c r="X83" s="77">
        <v>0.95</v>
      </c>
      <c r="Y83" s="78">
        <v>1</v>
      </c>
      <c r="Z83" s="80">
        <v>25</v>
      </c>
      <c r="AA83" s="79">
        <v>90</v>
      </c>
      <c r="AB83" s="305">
        <v>16</v>
      </c>
      <c r="AC83" s="79">
        <v>1</v>
      </c>
      <c r="AD83" s="305">
        <v>49</v>
      </c>
      <c r="AE83" s="79"/>
      <c r="AF83" s="306">
        <v>4</v>
      </c>
      <c r="AI83" s="46"/>
      <c r="AJ83" s="397" t="s">
        <v>586</v>
      </c>
      <c r="AK83" s="404">
        <v>42958</v>
      </c>
      <c r="AL83" s="405" t="s">
        <v>576</v>
      </c>
      <c r="AM83" s="302"/>
      <c r="AN83" s="46">
        <v>5.7</v>
      </c>
      <c r="AO83" s="46">
        <v>260000</v>
      </c>
      <c r="AP83" s="46">
        <v>3.6</v>
      </c>
      <c r="AS83" s="169">
        <f>-PMT($AT$10,Z83,T83)</f>
        <v>2.7182679997267951</v>
      </c>
      <c r="AT83" s="46">
        <f t="shared" si="10"/>
        <v>5000</v>
      </c>
      <c r="AU83" s="171">
        <f t="shared" si="6"/>
        <v>543.65359994535902</v>
      </c>
      <c r="AV83" s="171">
        <f t="shared" si="16"/>
        <v>387.4</v>
      </c>
      <c r="AW83" s="171">
        <f t="shared" si="17"/>
        <v>26.82</v>
      </c>
      <c r="AX83" s="171">
        <f t="array" aca="1" ref="AX83" ca="1">3.6*FuelPriceRAMSES!$Y$38*INDEX(FuelPriceRAMSES!$R$33:$R$63,MATCH(RIGHT(INDIRECT("E"&amp;ROW()),2),RIGHT(FuelPriceRAMSES!$Q$33:$Q$63,2),0))</f>
        <v>146.48999747368427</v>
      </c>
      <c r="AY83" s="171">
        <f t="shared" si="18"/>
        <v>5.9880239520958076</v>
      </c>
      <c r="AZ83" s="318">
        <v>1.2</v>
      </c>
      <c r="BA83" s="171">
        <f t="shared" si="7"/>
        <v>0.60405504779913843</v>
      </c>
      <c r="BB83" s="171">
        <f t="shared" ca="1" si="11"/>
        <v>788.6975911888137</v>
      </c>
      <c r="BC83" s="258">
        <f t="shared" ca="1" si="9"/>
        <v>1746.5711911341728</v>
      </c>
    </row>
    <row r="84" spans="1:55">
      <c r="A84" s="74"/>
      <c r="B84" s="74"/>
      <c r="C84" s="74"/>
      <c r="D84" s="75" t="s">
        <v>99</v>
      </c>
      <c r="E84" s="398" t="s">
        <v>551</v>
      </c>
      <c r="F84" s="74">
        <v>2020</v>
      </c>
      <c r="G84" s="74"/>
      <c r="H84" s="74"/>
      <c r="I84" s="74"/>
      <c r="J84" s="74"/>
      <c r="K84" s="77">
        <v>0.16700000000000001</v>
      </c>
      <c r="L84" s="77"/>
      <c r="M84" s="77"/>
      <c r="O84" s="78">
        <f t="shared" si="14"/>
        <v>1.0459473684210527</v>
      </c>
      <c r="P84" s="77">
        <v>0.19</v>
      </c>
      <c r="Q84" s="78">
        <f t="shared" si="15"/>
        <v>5.2631578947368425</v>
      </c>
      <c r="R84" s="78"/>
      <c r="S84" s="78"/>
      <c r="T84" s="306">
        <f t="shared" si="19"/>
        <v>41.72</v>
      </c>
      <c r="U84" s="306">
        <f t="shared" si="20"/>
        <v>1.9370000000000001</v>
      </c>
      <c r="V84" s="306">
        <f t="shared" si="21"/>
        <v>7.45</v>
      </c>
      <c r="W84" s="78"/>
      <c r="X84" s="78"/>
      <c r="Y84" s="78"/>
      <c r="Z84" s="81"/>
      <c r="AA84" s="79">
        <v>70</v>
      </c>
      <c r="AB84" s="305">
        <v>11</v>
      </c>
      <c r="AC84" s="79">
        <v>1</v>
      </c>
      <c r="AD84" s="305">
        <v>49</v>
      </c>
      <c r="AE84" s="79"/>
      <c r="AF84" s="306"/>
      <c r="AI84" s="46"/>
      <c r="AJ84" s="397" t="s">
        <v>586</v>
      </c>
      <c r="AK84" s="404">
        <v>42958</v>
      </c>
      <c r="AL84" s="405" t="s">
        <v>576</v>
      </c>
      <c r="AM84" s="302"/>
      <c r="AN84" s="46">
        <v>5.6</v>
      </c>
      <c r="AO84" s="46">
        <v>260000</v>
      </c>
      <c r="AP84" s="46">
        <v>3.6</v>
      </c>
      <c r="AS84" s="169">
        <f>-PMT($AT$10,Z83,T84)</f>
        <v>2.6705790874508857</v>
      </c>
      <c r="AT84" s="46">
        <f t="shared" si="10"/>
        <v>5000</v>
      </c>
      <c r="AU84" s="171">
        <f t="shared" si="6"/>
        <v>534.11581749017716</v>
      </c>
      <c r="AV84" s="171">
        <f t="shared" si="16"/>
        <v>387.4</v>
      </c>
      <c r="AW84" s="171">
        <f t="shared" si="17"/>
        <v>26.82</v>
      </c>
      <c r="AX84" s="171">
        <f t="array" aca="1" ref="AX84" ca="1">3.6*FuelPriceRAMSES!$Y$43*INDEX(FuelPriceRAMSES!$R$33:$R$63,MATCH(RIGHT(INDIRECT("E"&amp;ROW()),2),RIGHT(FuelPriceRAMSES!$Q$33:$Q$63,2),0))</f>
        <v>152.8416</v>
      </c>
      <c r="AY84" s="171">
        <f t="shared" si="18"/>
        <v>5.9880239520958076</v>
      </c>
      <c r="AZ84" s="318">
        <v>1.2</v>
      </c>
      <c r="BA84" s="171">
        <f t="shared" si="7"/>
        <v>0.60405504779913843</v>
      </c>
      <c r="BB84" s="171">
        <f t="shared" ca="1" si="11"/>
        <v>822.89442168294977</v>
      </c>
      <c r="BC84" s="258">
        <f t="shared" ca="1" si="9"/>
        <v>1771.2302391731268</v>
      </c>
    </row>
    <row r="85" spans="1:55">
      <c r="A85" s="74"/>
      <c r="B85" s="74"/>
      <c r="C85" s="74"/>
      <c r="D85" s="75"/>
      <c r="E85" s="398" t="s">
        <v>551</v>
      </c>
      <c r="F85" s="74">
        <v>2030</v>
      </c>
      <c r="G85" s="74"/>
      <c r="H85" s="74"/>
      <c r="I85" s="74"/>
      <c r="J85" s="74"/>
      <c r="K85" s="77">
        <v>0.16700000000000001</v>
      </c>
      <c r="L85" s="77"/>
      <c r="M85" s="77"/>
      <c r="O85" s="78">
        <f t="shared" si="14"/>
        <v>1.0459473684210527</v>
      </c>
      <c r="P85" s="77">
        <v>0.19</v>
      </c>
      <c r="Q85" s="78">
        <f t="shared" si="15"/>
        <v>5.2631578947368425</v>
      </c>
      <c r="R85" s="78"/>
      <c r="S85" s="78"/>
      <c r="T85" s="306">
        <f t="shared" si="19"/>
        <v>39.484999999999999</v>
      </c>
      <c r="U85" s="306">
        <f t="shared" si="20"/>
        <v>1.8625</v>
      </c>
      <c r="V85" s="306">
        <f t="shared" si="21"/>
        <v>7.45</v>
      </c>
      <c r="W85" s="78"/>
      <c r="X85" s="78"/>
      <c r="Y85" s="78"/>
      <c r="Z85" s="81"/>
      <c r="AA85" s="79">
        <v>50</v>
      </c>
      <c r="AB85" s="305">
        <v>8</v>
      </c>
      <c r="AC85" s="79">
        <v>1</v>
      </c>
      <c r="AD85" s="305">
        <v>49</v>
      </c>
      <c r="AE85" s="79"/>
      <c r="AF85" s="306"/>
      <c r="AI85" s="46"/>
      <c r="AJ85" s="397" t="s">
        <v>586</v>
      </c>
      <c r="AK85" s="404">
        <v>42958</v>
      </c>
      <c r="AL85" s="405" t="s">
        <v>576</v>
      </c>
      <c r="AM85" s="302"/>
      <c r="AN85" s="46">
        <v>5.3</v>
      </c>
      <c r="AO85" s="46">
        <v>250000</v>
      </c>
      <c r="AP85" s="46">
        <v>3.6</v>
      </c>
      <c r="AS85" s="169">
        <f>-PMT($AT$10,Z83,T85)</f>
        <v>2.52751235062316</v>
      </c>
      <c r="AT85" s="46">
        <f>AT84</f>
        <v>5000</v>
      </c>
      <c r="AU85" s="171">
        <f t="shared" si="6"/>
        <v>505.50247012463205</v>
      </c>
      <c r="AV85" s="171">
        <f t="shared" si="16"/>
        <v>372.5</v>
      </c>
      <c r="AW85" s="171">
        <f t="shared" si="17"/>
        <v>26.82</v>
      </c>
      <c r="AX85" s="171">
        <f t="array" aca="1" ref="AX85" ca="1">3.6*FuelPriceRAMSES!$Y$53*INDEX(FuelPriceRAMSES!$R$33:$R$63,MATCH(RIGHT(INDIRECT("E"&amp;ROW()),2),RIGHT(FuelPriceRAMSES!$Q$33:$Q$63,2),0))</f>
        <v>165.84192000000002</v>
      </c>
      <c r="AY85" s="171">
        <f t="shared" si="18"/>
        <v>5.9880239520958076</v>
      </c>
      <c r="AZ85" s="318">
        <v>1.2</v>
      </c>
      <c r="BA85" s="171">
        <f t="shared" si="7"/>
        <v>0.60405504779913843</v>
      </c>
      <c r="BB85" s="171">
        <f t="shared" ca="1" si="11"/>
        <v>892.88774030885588</v>
      </c>
      <c r="BC85" s="258">
        <f t="shared" ca="1" si="9"/>
        <v>1797.7102104334881</v>
      </c>
    </row>
    <row r="86" spans="1:55">
      <c r="A86" s="74"/>
      <c r="B86" s="74"/>
      <c r="C86" s="74"/>
      <c r="D86" s="75"/>
      <c r="E86" s="398" t="s">
        <v>551</v>
      </c>
      <c r="F86" s="74">
        <v>2050</v>
      </c>
      <c r="G86" s="74"/>
      <c r="H86" s="74"/>
      <c r="I86" s="74"/>
      <c r="J86" s="74"/>
      <c r="K86" s="77">
        <v>0.16700000000000001</v>
      </c>
      <c r="L86" s="77"/>
      <c r="M86" s="77"/>
      <c r="O86" s="78">
        <f t="shared" si="14"/>
        <v>1.0459473684210527</v>
      </c>
      <c r="P86" s="77">
        <v>0.19</v>
      </c>
      <c r="Q86" s="78">
        <f t="shared" si="15"/>
        <v>5.2631578947368425</v>
      </c>
      <c r="R86" s="78"/>
      <c r="S86" s="78"/>
      <c r="T86" s="306">
        <f t="shared" si="19"/>
        <v>35.76</v>
      </c>
      <c r="U86" s="306">
        <f t="shared" si="20"/>
        <v>1.788</v>
      </c>
      <c r="V86" s="306">
        <f t="shared" si="21"/>
        <v>7.45</v>
      </c>
      <c r="W86" s="78"/>
      <c r="X86" s="78"/>
      <c r="Y86" s="78"/>
      <c r="Z86" s="81"/>
      <c r="AA86" s="79">
        <v>40</v>
      </c>
      <c r="AB86" s="305">
        <v>4</v>
      </c>
      <c r="AC86" s="79">
        <v>0</v>
      </c>
      <c r="AD86" s="305">
        <v>49</v>
      </c>
      <c r="AE86" s="79"/>
      <c r="AF86" s="306"/>
      <c r="AI86" s="46"/>
      <c r="AJ86" s="397" t="s">
        <v>586</v>
      </c>
      <c r="AK86" s="404">
        <v>42958</v>
      </c>
      <c r="AL86" s="405" t="s">
        <v>576</v>
      </c>
      <c r="AM86" s="302"/>
      <c r="AN86" s="46">
        <v>4.8</v>
      </c>
      <c r="AO86" s="46">
        <v>240000</v>
      </c>
      <c r="AP86" s="46">
        <v>3.6</v>
      </c>
      <c r="AS86" s="169">
        <f>-PMT($AT$10,Z83,T86)</f>
        <v>2.2890677892436164</v>
      </c>
      <c r="AT86" s="46">
        <f t="shared" si="10"/>
        <v>5000</v>
      </c>
      <c r="AU86" s="171">
        <f t="shared" si="6"/>
        <v>457.81355784872329</v>
      </c>
      <c r="AV86" s="171">
        <f t="shared" si="16"/>
        <v>357.6</v>
      </c>
      <c r="AW86" s="171">
        <f t="shared" si="17"/>
        <v>26.82</v>
      </c>
      <c r="AX86" s="171">
        <f t="array" aca="1" ref="AX86" ca="1">3.6*FuelPriceRAMSES!$Y$58*INDEX(FuelPriceRAMSES!$R$33:$R$63,MATCH(RIGHT(INDIRECT("E"&amp;ROW()),2),RIGHT(FuelPriceRAMSES!$Q$33:$Q$63,2),0))</f>
        <v>169.70687999999998</v>
      </c>
      <c r="AY86" s="171">
        <f t="shared" si="18"/>
        <v>5.9880239520958076</v>
      </c>
      <c r="AZ86" s="318">
        <v>1.2</v>
      </c>
      <c r="BA86" s="171">
        <f t="shared" si="7"/>
        <v>0.60405504779913843</v>
      </c>
      <c r="BB86" s="171">
        <f t="shared" ca="1" si="11"/>
        <v>913.69656476520618</v>
      </c>
      <c r="BC86" s="258">
        <f t="shared" ca="1" si="9"/>
        <v>1755.9301226139296</v>
      </c>
    </row>
    <row r="87" spans="1:55">
      <c r="A87" s="74" t="s">
        <v>603</v>
      </c>
      <c r="B87" s="83" t="s">
        <v>601</v>
      </c>
      <c r="C87" s="74" t="s">
        <v>36</v>
      </c>
      <c r="D87" s="75" t="s">
        <v>26</v>
      </c>
      <c r="E87" s="398" t="s">
        <v>551</v>
      </c>
      <c r="F87" s="74">
        <v>2015</v>
      </c>
      <c r="G87" s="74">
        <v>2015</v>
      </c>
      <c r="H87" s="401">
        <v>3.5</v>
      </c>
      <c r="I87" s="74"/>
      <c r="J87" s="74"/>
      <c r="K87" s="77">
        <v>1</v>
      </c>
      <c r="L87" s="77"/>
      <c r="M87" s="77"/>
      <c r="O87" s="74"/>
      <c r="P87" s="74"/>
      <c r="Q87" s="74"/>
      <c r="R87" s="74"/>
      <c r="S87" s="74"/>
      <c r="T87" s="84">
        <f>1.07*Euro</f>
        <v>7.9715000000000007</v>
      </c>
      <c r="U87" s="84">
        <f>25600*Euro/1000000</f>
        <v>0.19072</v>
      </c>
      <c r="V87" s="84">
        <f>2.8*Euro/3.6</f>
        <v>5.7944444444444443</v>
      </c>
      <c r="W87" s="78">
        <v>3.1536000000000002E-2</v>
      </c>
      <c r="X87" s="78"/>
      <c r="Y87" s="406">
        <v>0.08</v>
      </c>
      <c r="Z87" s="401">
        <v>25</v>
      </c>
      <c r="AA87" s="79"/>
      <c r="AB87" s="305"/>
      <c r="AC87" s="79"/>
      <c r="AD87" s="28"/>
      <c r="AE87" s="28"/>
      <c r="AF87" s="401">
        <v>1.5</v>
      </c>
      <c r="AH87" s="407">
        <v>0.37</v>
      </c>
      <c r="AI87" s="46"/>
      <c r="AJ87" s="397" t="s">
        <v>565</v>
      </c>
      <c r="AK87" s="433">
        <v>42958</v>
      </c>
      <c r="AL87" s="434" t="s">
        <v>576</v>
      </c>
      <c r="AM87" s="302"/>
      <c r="AS87" s="169">
        <f t="shared" ref="AS87:AS95" si="52">-PMT($AT$10,Z87,T87)</f>
        <v>0.51027136135222295</v>
      </c>
      <c r="AT87" s="157">
        <v>3100</v>
      </c>
      <c r="AU87" s="171">
        <f t="shared" si="6"/>
        <v>164.60366495233001</v>
      </c>
      <c r="AV87" s="171">
        <f t="shared" si="16"/>
        <v>61.522580645161291</v>
      </c>
      <c r="AW87" s="171">
        <f t="shared" si="17"/>
        <v>20.86</v>
      </c>
      <c r="AX87" s="171"/>
      <c r="AY87" s="171">
        <f t="shared" si="18"/>
        <v>1</v>
      </c>
      <c r="AZ87" s="318">
        <v>1.2</v>
      </c>
      <c r="BA87" s="171">
        <f t="shared" si="7"/>
        <v>0</v>
      </c>
      <c r="BB87" s="171">
        <f t="shared" si="11"/>
        <v>0</v>
      </c>
      <c r="BC87" s="258">
        <f t="shared" si="9"/>
        <v>246.98624559749129</v>
      </c>
    </row>
    <row r="88" spans="1:55">
      <c r="A88" s="74"/>
      <c r="B88" s="83"/>
      <c r="C88" s="74"/>
      <c r="D88" s="75"/>
      <c r="E88" s="398" t="s">
        <v>551</v>
      </c>
      <c r="F88" s="74">
        <v>2020</v>
      </c>
      <c r="G88" s="74"/>
      <c r="H88" s="304">
        <v>3.5</v>
      </c>
      <c r="I88" s="74"/>
      <c r="J88" s="74"/>
      <c r="K88" s="77">
        <v>1</v>
      </c>
      <c r="L88" s="77"/>
      <c r="M88" s="77"/>
      <c r="O88" s="74"/>
      <c r="P88" s="74"/>
      <c r="Q88" s="74"/>
      <c r="R88" s="74"/>
      <c r="S88" s="74"/>
      <c r="T88" s="84">
        <f>0.99*Euro</f>
        <v>7.3754999999999997</v>
      </c>
      <c r="U88" s="84">
        <f>23900*Euro/1000000</f>
        <v>0.17805499999999999</v>
      </c>
      <c r="V88" s="84">
        <f>2.5*Euro/3.6</f>
        <v>5.1736111111111107</v>
      </c>
      <c r="W88" s="78">
        <v>3.1536000000000002E-2</v>
      </c>
      <c r="X88" s="78"/>
      <c r="Y88" s="406">
        <v>0.08</v>
      </c>
      <c r="Z88" s="401">
        <v>27</v>
      </c>
      <c r="AA88" s="79"/>
      <c r="AB88" s="79"/>
      <c r="AC88" s="79"/>
      <c r="AD88" s="28"/>
      <c r="AE88" s="28"/>
      <c r="AF88" s="401">
        <v>1.5</v>
      </c>
      <c r="AH88" s="408">
        <v>0.37</v>
      </c>
      <c r="AI88" s="46"/>
      <c r="AJ88" s="397" t="s">
        <v>565</v>
      </c>
      <c r="AK88" s="433">
        <v>42958</v>
      </c>
      <c r="AL88" s="434" t="s">
        <v>576</v>
      </c>
      <c r="AM88" s="302"/>
      <c r="AS88" s="169">
        <f t="shared" si="52"/>
        <v>0.45166485631652176</v>
      </c>
      <c r="AT88" s="157">
        <v>3150</v>
      </c>
      <c r="AU88" s="171">
        <f t="shared" si="6"/>
        <v>143.38566867191167</v>
      </c>
      <c r="AV88" s="171">
        <f t="shared" si="16"/>
        <v>56.525396825396818</v>
      </c>
      <c r="AW88" s="171">
        <f t="shared" si="17"/>
        <v>18.624999999999996</v>
      </c>
      <c r="AX88" s="171"/>
      <c r="AY88" s="171">
        <f t="shared" si="18"/>
        <v>1</v>
      </c>
      <c r="AZ88" s="318">
        <v>1.2</v>
      </c>
      <c r="BA88" s="171">
        <f t="shared" si="7"/>
        <v>0</v>
      </c>
      <c r="BB88" s="171">
        <f t="shared" si="11"/>
        <v>0</v>
      </c>
      <c r="BC88" s="258">
        <f t="shared" si="9"/>
        <v>218.5360654973085</v>
      </c>
    </row>
    <row r="89" spans="1:55">
      <c r="A89" s="74"/>
      <c r="B89" s="83"/>
      <c r="C89" s="74"/>
      <c r="D89" s="75"/>
      <c r="E89" s="398" t="s">
        <v>551</v>
      </c>
      <c r="F89" s="74">
        <v>2030</v>
      </c>
      <c r="G89" s="74"/>
      <c r="H89" s="401">
        <v>4</v>
      </c>
      <c r="I89" s="74"/>
      <c r="J89" s="74"/>
      <c r="K89" s="77">
        <v>1</v>
      </c>
      <c r="L89" s="77"/>
      <c r="M89" s="77"/>
      <c r="O89" s="74"/>
      <c r="P89" s="74"/>
      <c r="Q89" s="74"/>
      <c r="R89" s="74"/>
      <c r="S89" s="74"/>
      <c r="T89" s="84">
        <f>0.91*Euro</f>
        <v>6.7795000000000005</v>
      </c>
      <c r="U89" s="84">
        <f>22300*Euro/1000000</f>
        <v>0.166135</v>
      </c>
      <c r="V89" s="84">
        <f>2.3*Euro/3.6</f>
        <v>4.759722222222222</v>
      </c>
      <c r="W89" s="78">
        <v>3.1536000000000002E-2</v>
      </c>
      <c r="X89" s="78"/>
      <c r="Y89" s="406">
        <v>0.08</v>
      </c>
      <c r="Z89" s="401">
        <v>30</v>
      </c>
      <c r="AA89" s="79"/>
      <c r="AB89" s="305"/>
      <c r="AC89" s="79"/>
      <c r="AD89" s="28"/>
      <c r="AE89" s="28"/>
      <c r="AF89" s="401">
        <v>1.5</v>
      </c>
      <c r="AH89" s="408">
        <v>0.37671232876712329</v>
      </c>
      <c r="AJ89" s="397" t="s">
        <v>565</v>
      </c>
      <c r="AK89" s="433">
        <v>42958</v>
      </c>
      <c r="AL89" s="434" t="s">
        <v>576</v>
      </c>
      <c r="AM89" s="302"/>
      <c r="AS89" s="169">
        <f t="shared" si="52"/>
        <v>0.39205915707665712</v>
      </c>
      <c r="AT89" s="157">
        <v>3200</v>
      </c>
      <c r="AU89" s="171">
        <f t="shared" si="6"/>
        <v>122.51848658645535</v>
      </c>
      <c r="AV89" s="171">
        <f t="shared" si="16"/>
        <v>51.917187500000004</v>
      </c>
      <c r="AW89" s="171">
        <f t="shared" si="17"/>
        <v>17.135000000000002</v>
      </c>
      <c r="AX89" s="171"/>
      <c r="AY89" s="171">
        <f t="shared" si="18"/>
        <v>1</v>
      </c>
      <c r="AZ89" s="318">
        <v>1.2</v>
      </c>
      <c r="BA89" s="171">
        <f t="shared" si="7"/>
        <v>0</v>
      </c>
      <c r="BB89" s="171">
        <f>AX89*(AY89-BA89)</f>
        <v>0</v>
      </c>
      <c r="BC89" s="258">
        <f t="shared" si="9"/>
        <v>191.57067408645534</v>
      </c>
    </row>
    <row r="90" spans="1:55">
      <c r="A90" s="74"/>
      <c r="B90" s="83"/>
      <c r="C90" s="74"/>
      <c r="D90" s="75"/>
      <c r="E90" s="398" t="s">
        <v>551</v>
      </c>
      <c r="F90" s="74">
        <v>2050</v>
      </c>
      <c r="G90" s="74"/>
      <c r="H90" s="401">
        <v>5</v>
      </c>
      <c r="I90" s="74"/>
      <c r="J90" s="74"/>
      <c r="K90" s="77">
        <v>1</v>
      </c>
      <c r="L90" s="77"/>
      <c r="M90" s="77"/>
      <c r="O90" s="74"/>
      <c r="P90" s="74"/>
      <c r="Q90" s="74"/>
      <c r="R90" s="74"/>
      <c r="S90" s="74"/>
      <c r="T90" s="84">
        <f>0.83*Euro</f>
        <v>6.1834999999999996</v>
      </c>
      <c r="U90" s="84">
        <f>21200*Euro/1000000</f>
        <v>0.15794</v>
      </c>
      <c r="V90" s="84">
        <f>2.1*Euro/3.6</f>
        <v>4.3458333333333332</v>
      </c>
      <c r="W90" s="78">
        <v>3.1536000000000002E-2</v>
      </c>
      <c r="X90" s="78"/>
      <c r="Y90" s="406">
        <v>0.08</v>
      </c>
      <c r="Z90" s="401">
        <v>30</v>
      </c>
      <c r="AA90" s="79"/>
      <c r="AB90" s="305"/>
      <c r="AC90" s="79"/>
      <c r="AD90" s="28"/>
      <c r="AE90" s="28"/>
      <c r="AF90" s="401">
        <v>1.5</v>
      </c>
      <c r="AH90" s="408">
        <v>0.38812785388127852</v>
      </c>
      <c r="AI90" s="46"/>
      <c r="AJ90" s="397" t="s">
        <v>565</v>
      </c>
      <c r="AK90" s="433">
        <v>42958</v>
      </c>
      <c r="AL90" s="434" t="s">
        <v>576</v>
      </c>
      <c r="AM90" s="302"/>
      <c r="AS90" s="169">
        <f t="shared" si="52"/>
        <v>0.3575924179929949</v>
      </c>
      <c r="AT90" s="157">
        <v>3300</v>
      </c>
      <c r="AU90" s="171">
        <f t="shared" si="6"/>
        <v>108.36133878575603</v>
      </c>
      <c r="AV90" s="171">
        <f t="shared" si="16"/>
        <v>47.860606060606059</v>
      </c>
      <c r="AW90" s="171">
        <f t="shared" si="17"/>
        <v>15.645</v>
      </c>
      <c r="AX90" s="171"/>
      <c r="AY90" s="171">
        <f t="shared" si="18"/>
        <v>1</v>
      </c>
      <c r="AZ90" s="318">
        <v>1.2</v>
      </c>
      <c r="BA90" s="171">
        <f t="shared" si="7"/>
        <v>0</v>
      </c>
      <c r="BB90" s="171">
        <f t="shared" si="11"/>
        <v>0</v>
      </c>
      <c r="BC90" s="258">
        <f t="shared" si="9"/>
        <v>171.86694484636209</v>
      </c>
    </row>
    <row r="91" spans="1:55">
      <c r="A91" s="74" t="s">
        <v>602</v>
      </c>
      <c r="B91" s="83" t="s">
        <v>604</v>
      </c>
      <c r="C91" s="74" t="s">
        <v>36</v>
      </c>
      <c r="D91" s="75" t="s">
        <v>26</v>
      </c>
      <c r="E91" s="398" t="s">
        <v>551</v>
      </c>
      <c r="F91" s="74">
        <v>2015</v>
      </c>
      <c r="G91" s="74">
        <v>2015</v>
      </c>
      <c r="H91" s="401">
        <v>8</v>
      </c>
      <c r="I91" s="74"/>
      <c r="J91" s="74"/>
      <c r="K91" s="77">
        <v>1</v>
      </c>
      <c r="L91" s="77"/>
      <c r="M91" s="77"/>
      <c r="O91" s="74"/>
      <c r="P91" s="74"/>
      <c r="Q91" s="74"/>
      <c r="R91" s="74"/>
      <c r="S91" s="74"/>
      <c r="T91" s="84">
        <f t="shared" ref="T91:T95" si="53">AN91*Euro</f>
        <v>18.327000000000002</v>
      </c>
      <c r="U91" s="84">
        <f t="shared" ref="U91:U96" si="54">AO91*Euro/1000000</f>
        <v>0.42688500000000001</v>
      </c>
      <c r="V91" s="84">
        <f t="shared" ref="V91:V94" si="55">AP91*Euro/3.6</f>
        <v>8.8986111111111104</v>
      </c>
      <c r="W91" s="78">
        <v>3.1536000000000002E-2</v>
      </c>
      <c r="X91" s="78"/>
      <c r="Y91" s="406">
        <v>0.1</v>
      </c>
      <c r="Z91" s="401">
        <v>25</v>
      </c>
      <c r="AA91" s="79"/>
      <c r="AB91" s="79"/>
      <c r="AC91" s="79"/>
      <c r="AD91" s="28"/>
      <c r="AE91" s="28"/>
      <c r="AF91" s="401">
        <v>3</v>
      </c>
      <c r="AH91" s="408">
        <v>0.50228310502283102</v>
      </c>
      <c r="AJ91" s="397" t="s">
        <v>565</v>
      </c>
      <c r="AK91" s="433">
        <v>42958</v>
      </c>
      <c r="AL91" s="434" t="s">
        <v>576</v>
      </c>
      <c r="AM91" s="302"/>
      <c r="AN91" s="46">
        <v>2.46</v>
      </c>
      <c r="AO91" s="46">
        <v>57300</v>
      </c>
      <c r="AP91" s="46">
        <v>4.3</v>
      </c>
      <c r="AS91" s="169">
        <f t="shared" si="52"/>
        <v>1.1731472419873537</v>
      </c>
      <c r="AT91" s="157">
        <v>4400</v>
      </c>
      <c r="AU91" s="171">
        <f t="shared" si="6"/>
        <v>266.62437317894398</v>
      </c>
      <c r="AV91" s="171">
        <f t="shared" si="16"/>
        <v>97.019318181818193</v>
      </c>
      <c r="AW91" s="171">
        <f t="shared" si="17"/>
        <v>32.034999999999997</v>
      </c>
      <c r="AX91" s="171"/>
      <c r="AY91" s="171">
        <f t="shared" si="18"/>
        <v>1</v>
      </c>
      <c r="AZ91" s="318">
        <v>1.2</v>
      </c>
      <c r="BA91" s="171">
        <f t="shared" si="7"/>
        <v>0</v>
      </c>
      <c r="BB91" s="171">
        <f t="shared" si="11"/>
        <v>0</v>
      </c>
      <c r="BC91" s="258">
        <f t="shared" si="9"/>
        <v>395.67869136076217</v>
      </c>
    </row>
    <row r="92" spans="1:55">
      <c r="A92" s="74"/>
      <c r="B92" s="83"/>
      <c r="C92" s="74"/>
      <c r="D92" s="75"/>
      <c r="E92" s="398" t="s">
        <v>551</v>
      </c>
      <c r="F92" s="74">
        <v>2020</v>
      </c>
      <c r="G92" s="74"/>
      <c r="H92" s="401">
        <v>10</v>
      </c>
      <c r="I92" s="74"/>
      <c r="J92" s="74"/>
      <c r="K92" s="77">
        <v>1</v>
      </c>
      <c r="L92" s="77"/>
      <c r="M92" s="77"/>
      <c r="O92" s="74"/>
      <c r="P92" s="74"/>
      <c r="Q92" s="74"/>
      <c r="R92" s="74"/>
      <c r="S92" s="74"/>
      <c r="T92" s="84">
        <f t="shared" si="53"/>
        <v>14.304</v>
      </c>
      <c r="U92" s="84">
        <f t="shared" si="54"/>
        <v>0.33003500000000002</v>
      </c>
      <c r="V92" s="84">
        <f t="shared" si="55"/>
        <v>6.8291666666666666</v>
      </c>
      <c r="W92" s="78">
        <v>3.1536000000000002E-2</v>
      </c>
      <c r="X92" s="78"/>
      <c r="Y92" s="406">
        <v>0.1</v>
      </c>
      <c r="Z92" s="401">
        <v>27</v>
      </c>
      <c r="AA92" s="79"/>
      <c r="AB92" s="305"/>
      <c r="AC92" s="79"/>
      <c r="AD92" s="28"/>
      <c r="AE92" s="28"/>
      <c r="AF92" s="401">
        <v>2.5</v>
      </c>
      <c r="AH92" s="408">
        <v>0.51369863013698636</v>
      </c>
      <c r="AI92" s="46"/>
      <c r="AJ92" s="397" t="s">
        <v>565</v>
      </c>
      <c r="AK92" s="433">
        <v>42958</v>
      </c>
      <c r="AL92" s="434" t="s">
        <v>576</v>
      </c>
      <c r="AM92" s="302"/>
      <c r="AN92" s="46">
        <v>1.92</v>
      </c>
      <c r="AO92" s="46">
        <v>44300</v>
      </c>
      <c r="AP92" s="46">
        <v>3.3</v>
      </c>
      <c r="AS92" s="169">
        <f t="shared" si="52"/>
        <v>0.87595608497749666</v>
      </c>
      <c r="AT92" s="157">
        <v>4500</v>
      </c>
      <c r="AU92" s="171">
        <f t="shared" ref="AU92:AU160" si="56">AS92/AT92*(1000000)</f>
        <v>194.65690777277703</v>
      </c>
      <c r="AV92" s="171">
        <f t="shared" si="16"/>
        <v>73.341111111111118</v>
      </c>
      <c r="AW92" s="171">
        <f t="shared" si="17"/>
        <v>24.585000000000001</v>
      </c>
      <c r="AX92" s="171"/>
      <c r="AY92" s="171">
        <f t="shared" si="18"/>
        <v>1</v>
      </c>
      <c r="AZ92" s="318">
        <v>1.2</v>
      </c>
      <c r="BA92" s="171">
        <f t="shared" si="7"/>
        <v>0</v>
      </c>
      <c r="BB92" s="171">
        <f t="shared" si="11"/>
        <v>0</v>
      </c>
      <c r="BC92" s="258">
        <f t="shared" si="9"/>
        <v>292.58301888388814</v>
      </c>
    </row>
    <row r="93" spans="1:55">
      <c r="A93" s="74"/>
      <c r="B93" s="83"/>
      <c r="C93" s="74"/>
      <c r="D93" s="75"/>
      <c r="E93" s="398" t="s">
        <v>551</v>
      </c>
      <c r="F93" s="74">
        <v>2030</v>
      </c>
      <c r="G93" s="74"/>
      <c r="H93" s="401">
        <v>12</v>
      </c>
      <c r="I93" s="74"/>
      <c r="J93" s="74"/>
      <c r="K93" s="77">
        <v>1</v>
      </c>
      <c r="L93" s="77"/>
      <c r="M93" s="77"/>
      <c r="O93" s="74"/>
      <c r="P93" s="74"/>
      <c r="Q93" s="74"/>
      <c r="R93" s="74"/>
      <c r="S93" s="74"/>
      <c r="T93" s="84">
        <f t="shared" si="53"/>
        <v>12.218</v>
      </c>
      <c r="U93" s="84">
        <f t="shared" si="54"/>
        <v>0.28161000000000003</v>
      </c>
      <c r="V93" s="84">
        <f t="shared" si="55"/>
        <v>5.5875000000000004</v>
      </c>
      <c r="W93" s="78">
        <v>3.1536000000000002E-2</v>
      </c>
      <c r="X93" s="78"/>
      <c r="Y93" s="406">
        <v>0.1</v>
      </c>
      <c r="Z93" s="401">
        <v>30</v>
      </c>
      <c r="AA93" s="79"/>
      <c r="AB93" s="79"/>
      <c r="AC93" s="79"/>
      <c r="AD93" s="28"/>
      <c r="AE93" s="28"/>
      <c r="AF93" s="401">
        <v>2.5</v>
      </c>
      <c r="AH93" s="408">
        <v>0.53082191780821919</v>
      </c>
      <c r="AI93" s="46"/>
      <c r="AJ93" s="397" t="s">
        <v>565</v>
      </c>
      <c r="AK93" s="433">
        <v>42958</v>
      </c>
      <c r="AL93" s="434" t="s">
        <v>576</v>
      </c>
      <c r="AM93" s="302"/>
      <c r="AN93" s="46">
        <v>1.64</v>
      </c>
      <c r="AO93" s="46">
        <v>37800</v>
      </c>
      <c r="AP93" s="46">
        <v>2.7</v>
      </c>
      <c r="AS93" s="169">
        <f t="shared" si="52"/>
        <v>0.70656815121507421</v>
      </c>
      <c r="AT93" s="157">
        <v>4650</v>
      </c>
      <c r="AU93" s="171">
        <f t="shared" si="56"/>
        <v>151.95014004625253</v>
      </c>
      <c r="AV93" s="171">
        <f t="shared" si="16"/>
        <v>60.561290322580653</v>
      </c>
      <c r="AW93" s="171">
        <f t="shared" si="17"/>
        <v>20.114999999999998</v>
      </c>
      <c r="AX93" s="171"/>
      <c r="AY93" s="171">
        <f t="shared" si="18"/>
        <v>1</v>
      </c>
      <c r="AZ93" s="318">
        <v>1.2</v>
      </c>
      <c r="BA93" s="171">
        <f t="shared" ref="BA93:BA98" si="57">IF(O93=0,0,(AY93-(O93-K93)*AY93)/AZ93)</f>
        <v>0</v>
      </c>
      <c r="BB93" s="171">
        <f t="shared" si="11"/>
        <v>0</v>
      </c>
      <c r="BC93" s="258">
        <f t="shared" ref="BC93:BC98" si="58">AU93+AV93+AW93+BB93</f>
        <v>232.62643036883318</v>
      </c>
    </row>
    <row r="94" spans="1:55">
      <c r="A94" s="74"/>
      <c r="B94" s="83"/>
      <c r="C94" s="74"/>
      <c r="D94" s="75"/>
      <c r="E94" s="398" t="s">
        <v>551</v>
      </c>
      <c r="F94" s="74">
        <v>2050</v>
      </c>
      <c r="G94" s="74"/>
      <c r="H94" s="401">
        <v>15</v>
      </c>
      <c r="I94" s="74"/>
      <c r="J94" s="74"/>
      <c r="K94" s="77">
        <v>1</v>
      </c>
      <c r="L94" s="77"/>
      <c r="M94" s="77"/>
      <c r="O94" s="74"/>
      <c r="P94" s="74"/>
      <c r="Q94" s="74"/>
      <c r="R94" s="74"/>
      <c r="S94" s="74"/>
      <c r="T94" s="84">
        <f t="shared" si="53"/>
        <v>10.355499999999999</v>
      </c>
      <c r="U94" s="84">
        <f t="shared" si="54"/>
        <v>0.239145</v>
      </c>
      <c r="V94" s="84">
        <f t="shared" si="55"/>
        <v>4.552777777777778</v>
      </c>
      <c r="W94" s="78">
        <v>3.1536000000000002E-2</v>
      </c>
      <c r="X94" s="78"/>
      <c r="Y94" s="406">
        <v>0.1</v>
      </c>
      <c r="Z94" s="401">
        <v>30</v>
      </c>
      <c r="AA94" s="79"/>
      <c r="AB94" s="79"/>
      <c r="AC94" s="79"/>
      <c r="AD94" s="28"/>
      <c r="AE94" s="28"/>
      <c r="AF94" s="401">
        <v>2</v>
      </c>
      <c r="AH94" s="408">
        <v>0.55936073059360736</v>
      </c>
      <c r="AI94" s="46"/>
      <c r="AJ94" s="397" t="s">
        <v>565</v>
      </c>
      <c r="AK94" s="433">
        <v>42958</v>
      </c>
      <c r="AL94" s="434" t="s">
        <v>576</v>
      </c>
      <c r="AM94" s="302"/>
      <c r="AN94" s="46">
        <v>1.39</v>
      </c>
      <c r="AO94" s="46">
        <v>32100</v>
      </c>
      <c r="AP94" s="46">
        <v>2.2000000000000002</v>
      </c>
      <c r="AS94" s="169">
        <f t="shared" si="52"/>
        <v>0.59885959157863</v>
      </c>
      <c r="AT94" s="157">
        <v>4900</v>
      </c>
      <c r="AU94" s="171">
        <f>AS94/AT94*(1000000)</f>
        <v>122.21624317931224</v>
      </c>
      <c r="AV94" s="171">
        <f t="shared" si="16"/>
        <v>48.805102040816323</v>
      </c>
      <c r="AW94" s="171">
        <f t="shared" si="17"/>
        <v>16.390000000000004</v>
      </c>
      <c r="AX94" s="171"/>
      <c r="AY94" s="171">
        <f t="shared" si="18"/>
        <v>1</v>
      </c>
      <c r="AZ94" s="318">
        <v>1.2</v>
      </c>
      <c r="BA94" s="171">
        <f t="shared" si="57"/>
        <v>0</v>
      </c>
      <c r="BB94" s="171">
        <f t="shared" si="11"/>
        <v>0</v>
      </c>
      <c r="BC94" s="258">
        <f t="shared" si="58"/>
        <v>187.4113452201286</v>
      </c>
    </row>
    <row r="95" spans="1:55">
      <c r="A95" s="173" t="s">
        <v>600</v>
      </c>
      <c r="B95" s="83" t="s">
        <v>599</v>
      </c>
      <c r="C95" s="173" t="s">
        <v>93</v>
      </c>
      <c r="D95" s="175" t="s">
        <v>26</v>
      </c>
      <c r="E95" s="398" t="s">
        <v>551</v>
      </c>
      <c r="F95" s="173">
        <v>2015</v>
      </c>
      <c r="G95" s="173">
        <v>2015</v>
      </c>
      <c r="H95" s="176">
        <v>0.35</v>
      </c>
      <c r="I95" s="173"/>
      <c r="J95" s="173"/>
      <c r="K95" s="180">
        <v>1</v>
      </c>
      <c r="L95" s="180"/>
      <c r="M95" s="180"/>
      <c r="N95" s="178"/>
      <c r="O95" s="173"/>
      <c r="P95" s="173"/>
      <c r="Q95" s="173"/>
      <c r="R95" s="173"/>
      <c r="S95" s="173"/>
      <c r="T95" s="84">
        <f t="shared" si="53"/>
        <v>10.8774768</v>
      </c>
      <c r="U95" s="84">
        <f t="shared" si="54"/>
        <v>8.577793467947499E-2</v>
      </c>
      <c r="V95" s="84"/>
      <c r="W95" s="179">
        <f t="shared" ref="W95:W98" si="59">3.6*8760/1000000</f>
        <v>3.1536000000000002E-2</v>
      </c>
      <c r="X95" s="180"/>
      <c r="Y95" s="316">
        <v>0.26</v>
      </c>
      <c r="Z95" s="176">
        <v>30</v>
      </c>
      <c r="AA95" s="172"/>
      <c r="AB95" s="172"/>
      <c r="AC95" s="172"/>
      <c r="AD95" s="181"/>
      <c r="AE95" s="181"/>
      <c r="AF95" s="176">
        <v>1</v>
      </c>
      <c r="AG95" s="178"/>
      <c r="AH95" s="300">
        <f>1130.4669576816/8760</f>
        <v>0.12904873946136985</v>
      </c>
      <c r="AI95" s="178"/>
      <c r="AJ95" s="397" t="s">
        <v>565</v>
      </c>
      <c r="AK95" s="433">
        <v>42958</v>
      </c>
      <c r="AL95" s="434" t="s">
        <v>576</v>
      </c>
      <c r="AM95" s="178"/>
      <c r="AN95" s="470">
        <v>1.460064</v>
      </c>
      <c r="AO95" s="471">
        <v>11513.816735499999</v>
      </c>
      <c r="AP95" s="178"/>
      <c r="AQ95" s="313">
        <v>1200</v>
      </c>
      <c r="AS95" s="169">
        <f t="shared" si="52"/>
        <v>0.62904556166810133</v>
      </c>
      <c r="AT95" s="317">
        <f>AQ95</f>
        <v>1200</v>
      </c>
      <c r="AU95" s="171">
        <f>AS95/AT95*(1000000)</f>
        <v>524.20463472341783</v>
      </c>
      <c r="AV95" s="171">
        <f>U95/AT95*(1000000)</f>
        <v>71.481612232895827</v>
      </c>
      <c r="AW95" s="171">
        <f t="shared" si="17"/>
        <v>0</v>
      </c>
      <c r="AX95" s="171"/>
      <c r="AY95" s="171">
        <f t="shared" si="18"/>
        <v>1</v>
      </c>
      <c r="AZ95" s="318">
        <v>1.2</v>
      </c>
      <c r="BA95" s="171">
        <f t="shared" si="57"/>
        <v>0</v>
      </c>
      <c r="BB95" s="171">
        <f>AX95*(AY95-BA95)</f>
        <v>0</v>
      </c>
      <c r="BC95" s="258">
        <f t="shared" si="58"/>
        <v>595.68624695631365</v>
      </c>
    </row>
    <row r="96" spans="1:55">
      <c r="A96" s="173"/>
      <c r="B96" s="83"/>
      <c r="C96" s="173"/>
      <c r="D96" s="175"/>
      <c r="E96" s="398" t="s">
        <v>551</v>
      </c>
      <c r="F96" s="303">
        <v>2020</v>
      </c>
      <c r="G96" s="303"/>
      <c r="H96" s="176">
        <v>0.35</v>
      </c>
      <c r="I96" s="303"/>
      <c r="J96" s="303"/>
      <c r="K96" s="180">
        <v>1</v>
      </c>
      <c r="L96" s="77"/>
      <c r="M96" s="77"/>
      <c r="O96" s="303"/>
      <c r="P96" s="303"/>
      <c r="Q96" s="303"/>
      <c r="R96" s="303"/>
      <c r="S96" s="303"/>
      <c r="T96" s="84">
        <f t="shared" ref="T96:T97" si="60">AN96*Euro</f>
        <v>6.2009191479800352</v>
      </c>
      <c r="U96" s="84">
        <f t="shared" si="54"/>
        <v>6.9865116812325004E-2</v>
      </c>
      <c r="V96" s="84"/>
      <c r="W96" s="179">
        <f t="shared" si="59"/>
        <v>3.1536000000000002E-2</v>
      </c>
      <c r="X96" s="77"/>
      <c r="Y96" s="316">
        <v>0.26</v>
      </c>
      <c r="Z96" s="303">
        <v>35</v>
      </c>
      <c r="AA96" s="305"/>
      <c r="AB96" s="305"/>
      <c r="AC96" s="305"/>
      <c r="AD96" s="28"/>
      <c r="AE96" s="28"/>
      <c r="AF96" s="176">
        <v>1</v>
      </c>
      <c r="AH96" s="300">
        <f>1194.601481073/8760</f>
        <v>0.13637003208595891</v>
      </c>
      <c r="AI96" s="46"/>
      <c r="AJ96" s="397" t="s">
        <v>565</v>
      </c>
      <c r="AK96" s="433">
        <v>42958</v>
      </c>
      <c r="AL96" s="434" t="s">
        <v>576</v>
      </c>
      <c r="AN96" s="472">
        <v>0.83233814066846112</v>
      </c>
      <c r="AO96" s="473">
        <v>9377.8680285000009</v>
      </c>
      <c r="AQ96" s="315">
        <v>1216</v>
      </c>
      <c r="AS96" s="169">
        <f>-PMT($AT$10,Z95,T96)</f>
        <v>0.35859976904750424</v>
      </c>
      <c r="AT96" s="317">
        <f>AQ96</f>
        <v>1216</v>
      </c>
      <c r="AU96" s="171">
        <f t="shared" si="56"/>
        <v>294.90112586143442</v>
      </c>
      <c r="AV96" s="171">
        <f t="shared" si="16"/>
        <v>57.454865799609379</v>
      </c>
      <c r="AW96" s="171">
        <f t="shared" si="17"/>
        <v>0</v>
      </c>
      <c r="AX96" s="171"/>
      <c r="AY96" s="171">
        <v>1</v>
      </c>
      <c r="AZ96" s="318">
        <v>1.2</v>
      </c>
      <c r="BA96" s="171">
        <f t="shared" si="57"/>
        <v>0</v>
      </c>
      <c r="BB96" s="171">
        <f>AX96*(AY96-BA96)</f>
        <v>0</v>
      </c>
      <c r="BC96" s="258">
        <f t="shared" si="58"/>
        <v>352.35599166104379</v>
      </c>
    </row>
    <row r="97" spans="1:55">
      <c r="A97" s="173"/>
      <c r="B97" s="83"/>
      <c r="C97" s="173"/>
      <c r="D97" s="175"/>
      <c r="E97" s="398" t="s">
        <v>551</v>
      </c>
      <c r="F97" s="303">
        <v>2030</v>
      </c>
      <c r="G97" s="303"/>
      <c r="H97" s="176">
        <v>0.35</v>
      </c>
      <c r="I97" s="303"/>
      <c r="J97" s="303"/>
      <c r="K97" s="180">
        <v>1</v>
      </c>
      <c r="L97" s="77"/>
      <c r="M97" s="77"/>
      <c r="O97" s="303"/>
      <c r="P97" s="303"/>
      <c r="Q97" s="303"/>
      <c r="R97" s="303"/>
      <c r="S97" s="303"/>
      <c r="T97" s="84">
        <f t="shared" si="60"/>
        <v>5.1322847257911004</v>
      </c>
      <c r="U97" s="84">
        <f t="shared" ref="U97:U98" si="61">AO97*Euro/1000000</f>
        <v>5.4498956127524999E-2</v>
      </c>
      <c r="V97" s="84"/>
      <c r="W97" s="179">
        <f t="shared" si="59"/>
        <v>3.1536000000000002E-2</v>
      </c>
      <c r="X97" s="77"/>
      <c r="Y97" s="316">
        <v>0.26</v>
      </c>
      <c r="Z97" s="303">
        <v>40</v>
      </c>
      <c r="AA97" s="305"/>
      <c r="AB97" s="305"/>
      <c r="AC97" s="305"/>
      <c r="AD97" s="28"/>
      <c r="AE97" s="28"/>
      <c r="AF97" s="176">
        <v>1</v>
      </c>
      <c r="AH97" s="300">
        <f>1233.3780633834/8760</f>
        <v>0.14079658257801372</v>
      </c>
      <c r="AI97" s="46"/>
      <c r="AJ97" s="397" t="s">
        <v>565</v>
      </c>
      <c r="AK97" s="433">
        <v>42958</v>
      </c>
      <c r="AL97" s="434" t="s">
        <v>576</v>
      </c>
      <c r="AN97" s="472">
        <v>0.68889727862967787</v>
      </c>
      <c r="AO97" s="473">
        <v>7315.2961244999997</v>
      </c>
      <c r="AQ97" s="315">
        <v>1216</v>
      </c>
      <c r="AS97" s="169">
        <f>-PMT($AT$10,Z95,T97)</f>
        <v>0.29680053447467525</v>
      </c>
      <c r="AT97" s="317">
        <f>AQ97</f>
        <v>1216</v>
      </c>
      <c r="AU97" s="171">
        <f t="shared" si="56"/>
        <v>244.07938690351583</v>
      </c>
      <c r="AV97" s="171">
        <f t="shared" si="16"/>
        <v>44.818220499609374</v>
      </c>
      <c r="AW97" s="171">
        <f t="shared" si="17"/>
        <v>0</v>
      </c>
      <c r="AX97" s="171"/>
      <c r="AY97" s="171">
        <v>1</v>
      </c>
      <c r="AZ97" s="318">
        <v>1.2</v>
      </c>
      <c r="BA97" s="171">
        <f t="shared" si="57"/>
        <v>0</v>
      </c>
      <c r="BB97" s="171">
        <f t="shared" ref="BB97:BB102" si="62">AX97*(AY97-BA97)</f>
        <v>0</v>
      </c>
      <c r="BC97" s="258">
        <f t="shared" si="58"/>
        <v>288.89760740312522</v>
      </c>
    </row>
    <row r="98" spans="1:55">
      <c r="A98" s="173"/>
      <c r="B98" s="83"/>
      <c r="C98" s="173"/>
      <c r="D98" s="175"/>
      <c r="E98" s="398" t="s">
        <v>551</v>
      </c>
      <c r="F98" s="303">
        <v>2050</v>
      </c>
      <c r="G98" s="303"/>
      <c r="H98" s="176">
        <v>0.35</v>
      </c>
      <c r="I98" s="303"/>
      <c r="J98" s="303"/>
      <c r="K98" s="180">
        <v>1</v>
      </c>
      <c r="L98" s="77"/>
      <c r="M98" s="77"/>
      <c r="O98" s="303"/>
      <c r="P98" s="303"/>
      <c r="Q98" s="303"/>
      <c r="R98" s="303"/>
      <c r="S98" s="303"/>
      <c r="T98" s="84">
        <f>AN98*Euro</f>
        <v>4.1527827082407196</v>
      </c>
      <c r="U98" s="84">
        <f t="shared" si="61"/>
        <v>4.4810186449875E-2</v>
      </c>
      <c r="V98" s="84"/>
      <c r="W98" s="179">
        <f t="shared" si="59"/>
        <v>3.1536000000000002E-2</v>
      </c>
      <c r="X98" s="77"/>
      <c r="Y98" s="316">
        <v>0.26</v>
      </c>
      <c r="Z98" s="303">
        <v>40</v>
      </c>
      <c r="AA98" s="305"/>
      <c r="AB98" s="305"/>
      <c r="AC98" s="305"/>
      <c r="AD98" s="28"/>
      <c r="AE98" s="28"/>
      <c r="AF98" s="176">
        <v>1</v>
      </c>
      <c r="AH98" s="300">
        <f>1272.725673516/8760</f>
        <v>0.14528831889452054</v>
      </c>
      <c r="AI98" s="46"/>
      <c r="AJ98" s="397" t="s">
        <v>565</v>
      </c>
      <c r="AK98" s="433">
        <v>42958</v>
      </c>
      <c r="AL98" s="434" t="s">
        <v>576</v>
      </c>
      <c r="AN98" s="472">
        <v>0.55742049775043212</v>
      </c>
      <c r="AO98" s="473">
        <v>6014.7901274999995</v>
      </c>
      <c r="AQ98" s="315">
        <v>1225</v>
      </c>
      <c r="AS98" s="169">
        <f>-PMT($AT$10,Z95,T98)</f>
        <v>0.24015583569811544</v>
      </c>
      <c r="AT98" s="317">
        <f>AQ98</f>
        <v>1225</v>
      </c>
      <c r="AU98" s="171">
        <f t="shared" si="56"/>
        <v>196.04558016172689</v>
      </c>
      <c r="AV98" s="171">
        <f t="shared" si="16"/>
        <v>36.579744040714282</v>
      </c>
      <c r="AW98" s="171">
        <f t="shared" si="17"/>
        <v>0</v>
      </c>
      <c r="AX98" s="171"/>
      <c r="AY98" s="171">
        <v>1</v>
      </c>
      <c r="AZ98" s="318">
        <v>1.2</v>
      </c>
      <c r="BA98" s="171">
        <f t="shared" si="57"/>
        <v>0</v>
      </c>
      <c r="BB98" s="171">
        <f t="shared" si="62"/>
        <v>0</v>
      </c>
      <c r="BC98" s="258">
        <f t="shared" si="58"/>
        <v>232.62532420244116</v>
      </c>
    </row>
    <row r="99" spans="1:55">
      <c r="A99" s="320" t="s">
        <v>608</v>
      </c>
      <c r="B99" s="83" t="s">
        <v>607</v>
      </c>
      <c r="C99" s="320" t="s">
        <v>45</v>
      </c>
      <c r="D99" s="320" t="s">
        <v>26</v>
      </c>
      <c r="E99" s="398" t="s">
        <v>551</v>
      </c>
      <c r="F99" s="320">
        <v>2015</v>
      </c>
      <c r="G99" s="320">
        <v>2015</v>
      </c>
      <c r="H99" s="320">
        <v>1</v>
      </c>
      <c r="I99" s="320"/>
      <c r="J99" s="320"/>
      <c r="K99" s="320">
        <v>1</v>
      </c>
      <c r="L99" s="320"/>
      <c r="M99" s="320"/>
      <c r="N99" s="320"/>
      <c r="O99" s="320"/>
      <c r="P99" s="320"/>
      <c r="Q99" s="320"/>
      <c r="R99" s="320"/>
      <c r="S99" s="320"/>
      <c r="T99" s="84">
        <f>AVERAGE(4.6,11)*Euro</f>
        <v>58.11</v>
      </c>
      <c r="U99" s="156">
        <f>85000*Euro/1000000</f>
        <v>0.63324999999999998</v>
      </c>
      <c r="V99" s="84">
        <f>20*Euro/3.6</f>
        <v>41.388888888888886</v>
      </c>
      <c r="W99" s="411">
        <v>3.1536000000000002E-2</v>
      </c>
      <c r="X99" s="432">
        <v>0.17123287671232876</v>
      </c>
      <c r="Y99" s="320">
        <v>0.3</v>
      </c>
      <c r="Z99" s="83">
        <v>10</v>
      </c>
      <c r="AA99" s="303"/>
      <c r="AB99" s="303"/>
      <c r="AC99" s="303"/>
      <c r="AD99" s="303"/>
      <c r="AE99" s="303"/>
      <c r="AF99" s="83">
        <v>3.5</v>
      </c>
      <c r="AG99" s="303"/>
      <c r="AH99" s="303"/>
      <c r="AI99" s="303"/>
      <c r="AJ99" s="397" t="s">
        <v>565</v>
      </c>
      <c r="AK99" s="433">
        <v>42958</v>
      </c>
      <c r="AL99" s="434" t="s">
        <v>576</v>
      </c>
      <c r="AM99" s="302"/>
      <c r="AN99" s="302"/>
      <c r="AO99" s="302"/>
      <c r="AP99" s="302"/>
      <c r="AS99" s="169">
        <f t="shared" ref="AS99:AS113" si="63">-PMT($AT$10,Z99,T99)</f>
        <v>7.1644367750242344</v>
      </c>
      <c r="AT99" s="46">
        <f t="shared" ref="AT99:AT102" si="64">8760*X99</f>
        <v>1500</v>
      </c>
      <c r="AU99" s="171">
        <f t="shared" si="56"/>
        <v>4776.2911833494891</v>
      </c>
      <c r="AV99" s="171">
        <f t="shared" ref="AV99:AV160" si="65">U99/AT99*(1000000)</f>
        <v>422.16666666666669</v>
      </c>
      <c r="AW99" s="171">
        <f t="shared" ref="AW99:AW160" si="66">V99*1000*3.6/1000</f>
        <v>148.99999999999997</v>
      </c>
      <c r="AX99" s="171"/>
      <c r="AY99" s="171">
        <f t="shared" ref="AY99:AY102" si="67">1/K99</f>
        <v>1</v>
      </c>
      <c r="AZ99" s="318">
        <v>1.2</v>
      </c>
      <c r="BA99" s="171">
        <f t="shared" ref="BA99:BA102" si="68">IF(O99=0,0,(O99-K99)/AZ99)</f>
        <v>0</v>
      </c>
      <c r="BB99" s="171">
        <f t="shared" si="62"/>
        <v>0</v>
      </c>
      <c r="BC99" s="258">
        <f t="shared" ref="BC99" si="69">AU99+AV99+AW99+BB99</f>
        <v>5347.457850016156</v>
      </c>
    </row>
    <row r="100" spans="1:55">
      <c r="A100" s="320"/>
      <c r="B100" s="83"/>
      <c r="C100" s="320"/>
      <c r="D100" s="320"/>
      <c r="E100" s="398" t="s">
        <v>551</v>
      </c>
      <c r="F100" s="320">
        <v>2020</v>
      </c>
      <c r="G100" s="320"/>
      <c r="H100" s="320">
        <v>2</v>
      </c>
      <c r="I100" s="320"/>
      <c r="J100" s="320"/>
      <c r="K100" s="320">
        <v>1</v>
      </c>
      <c r="L100" s="320"/>
      <c r="M100" s="320"/>
      <c r="N100" s="320"/>
      <c r="O100" s="320"/>
      <c r="P100" s="320"/>
      <c r="Q100" s="320"/>
      <c r="R100" s="320"/>
      <c r="S100" s="320"/>
      <c r="T100" s="84">
        <f>AVERAGE(3.8,9)*Euro</f>
        <v>47.680000000000007</v>
      </c>
      <c r="U100" s="156">
        <v>0.50660000000000005</v>
      </c>
      <c r="V100" s="84">
        <f>15*Euro/3.6</f>
        <v>31.041666666666664</v>
      </c>
      <c r="W100" s="411">
        <v>3.1536000000000002E-2</v>
      </c>
      <c r="X100" s="432">
        <v>0.2226027397260274</v>
      </c>
      <c r="Y100" s="320">
        <v>0.3</v>
      </c>
      <c r="Z100" s="83">
        <v>20</v>
      </c>
      <c r="AA100" s="303"/>
      <c r="AB100" s="303"/>
      <c r="AC100" s="303"/>
      <c r="AD100" s="303"/>
      <c r="AE100" s="303"/>
      <c r="AF100" s="83"/>
      <c r="AG100" s="303"/>
      <c r="AH100" s="303"/>
      <c r="AI100" s="303"/>
      <c r="AJ100" s="397" t="s">
        <v>565</v>
      </c>
      <c r="AK100" s="433">
        <v>42958</v>
      </c>
      <c r="AL100" s="434" t="s">
        <v>576</v>
      </c>
      <c r="AM100" s="302"/>
      <c r="AN100" s="302"/>
      <c r="AO100" s="302"/>
      <c r="AP100" s="302"/>
      <c r="AS100" s="169">
        <f t="shared" si="63"/>
        <v>3.5083778556690262</v>
      </c>
      <c r="AT100" s="46">
        <f t="shared" si="64"/>
        <v>1950</v>
      </c>
      <c r="AU100" s="171">
        <f t="shared" si="56"/>
        <v>1799.1681311123211</v>
      </c>
      <c r="AV100" s="171">
        <f t="shared" si="65"/>
        <v>259.79487179487182</v>
      </c>
      <c r="AW100" s="171">
        <f t="shared" si="66"/>
        <v>111.75</v>
      </c>
      <c r="AX100" s="171"/>
      <c r="AY100" s="171">
        <f t="shared" si="67"/>
        <v>1</v>
      </c>
      <c r="AZ100" s="318">
        <v>1.2</v>
      </c>
      <c r="BA100" s="171">
        <f t="shared" si="68"/>
        <v>0</v>
      </c>
      <c r="BB100" s="171">
        <f t="shared" si="62"/>
        <v>0</v>
      </c>
      <c r="BC100" s="258">
        <f t="shared" ref="BC100:BC102" si="70">SUM(AU100:AY100)</f>
        <v>2171.7130029071932</v>
      </c>
    </row>
    <row r="101" spans="1:55">
      <c r="A101" s="320"/>
      <c r="B101" s="83"/>
      <c r="C101" s="320"/>
      <c r="D101" s="320"/>
      <c r="E101" s="398" t="s">
        <v>551</v>
      </c>
      <c r="F101" s="320">
        <v>2030</v>
      </c>
      <c r="G101" s="320"/>
      <c r="H101" s="320">
        <v>10</v>
      </c>
      <c r="I101" s="320"/>
      <c r="J101" s="320"/>
      <c r="K101" s="320">
        <v>1</v>
      </c>
      <c r="L101" s="320"/>
      <c r="M101" s="320"/>
      <c r="N101" s="320"/>
      <c r="O101" s="320"/>
      <c r="P101" s="320"/>
      <c r="Q101" s="320"/>
      <c r="R101" s="320"/>
      <c r="S101" s="320"/>
      <c r="T101" s="84">
        <f>AVERAGE(2.2,4.5)*Euro</f>
        <v>24.9575</v>
      </c>
      <c r="U101" s="156">
        <v>0.40528000000000008</v>
      </c>
      <c r="V101" s="84">
        <f>10*Euro/3.6</f>
        <v>20.694444444444443</v>
      </c>
      <c r="W101" s="411">
        <v>3.1536000000000002E-2</v>
      </c>
      <c r="X101" s="432">
        <v>0.28938356164383561</v>
      </c>
      <c r="Y101" s="320">
        <v>0.3</v>
      </c>
      <c r="Z101" s="83">
        <v>25</v>
      </c>
      <c r="AA101" s="303"/>
      <c r="AB101" s="303"/>
      <c r="AC101" s="303"/>
      <c r="AD101" s="303"/>
      <c r="AE101" s="303"/>
      <c r="AF101" s="83"/>
      <c r="AG101" s="303"/>
      <c r="AH101" s="303"/>
      <c r="AI101" s="303"/>
      <c r="AJ101" s="397" t="s">
        <v>565</v>
      </c>
      <c r="AK101" s="433">
        <v>42958</v>
      </c>
      <c r="AL101" s="434" t="s">
        <v>576</v>
      </c>
      <c r="AM101" s="302"/>
      <c r="AN101" s="302"/>
      <c r="AO101" s="302"/>
      <c r="AP101" s="302"/>
      <c r="AS101" s="169">
        <f t="shared" si="63"/>
        <v>1.5975785612429407</v>
      </c>
      <c r="AT101" s="46">
        <f t="shared" si="64"/>
        <v>2535</v>
      </c>
      <c r="AU101" s="171">
        <f t="shared" si="56"/>
        <v>630.20850542127846</v>
      </c>
      <c r="AV101" s="171">
        <f t="shared" si="65"/>
        <v>159.87376725838268</v>
      </c>
      <c r="AW101" s="171">
        <f t="shared" si="66"/>
        <v>74.499999999999986</v>
      </c>
      <c r="AX101" s="171"/>
      <c r="AY101" s="171">
        <f t="shared" si="67"/>
        <v>1</v>
      </c>
      <c r="AZ101" s="318">
        <v>1.2</v>
      </c>
      <c r="BA101" s="171">
        <f t="shared" si="68"/>
        <v>0</v>
      </c>
      <c r="BB101" s="171">
        <f t="shared" si="62"/>
        <v>0</v>
      </c>
      <c r="BC101" s="258">
        <f t="shared" si="70"/>
        <v>865.58227267966117</v>
      </c>
    </row>
    <row r="102" spans="1:55">
      <c r="A102" s="320"/>
      <c r="B102" s="83"/>
      <c r="C102" s="320"/>
      <c r="D102" s="320"/>
      <c r="E102" s="398" t="s">
        <v>551</v>
      </c>
      <c r="F102" s="320">
        <v>2050</v>
      </c>
      <c r="G102" s="320"/>
      <c r="H102" s="320">
        <v>50</v>
      </c>
      <c r="I102" s="320"/>
      <c r="J102" s="320"/>
      <c r="K102" s="320">
        <v>1</v>
      </c>
      <c r="L102" s="320"/>
      <c r="M102" s="320"/>
      <c r="N102" s="320"/>
      <c r="O102" s="320"/>
      <c r="P102" s="320"/>
      <c r="Q102" s="320"/>
      <c r="R102" s="320"/>
      <c r="S102" s="320"/>
      <c r="T102" s="84">
        <f>AVERAGE(1.6)*Euro</f>
        <v>11.920000000000002</v>
      </c>
      <c r="U102" s="156">
        <f>47000*Euro/1000000</f>
        <v>0.35015000000000002</v>
      </c>
      <c r="V102" s="84">
        <f>7*Euro/3.6</f>
        <v>14.486111111111111</v>
      </c>
      <c r="W102" s="411">
        <v>3.1536000000000002E-2</v>
      </c>
      <c r="X102" s="432">
        <v>0.37619863013698629</v>
      </c>
      <c r="Y102" s="320">
        <v>0.3</v>
      </c>
      <c r="Z102" s="83">
        <v>30</v>
      </c>
      <c r="AA102" s="303"/>
      <c r="AB102" s="303"/>
      <c r="AC102" s="303"/>
      <c r="AD102" s="303"/>
      <c r="AE102" s="303"/>
      <c r="AF102" s="83"/>
      <c r="AG102" s="303"/>
      <c r="AH102" s="303"/>
      <c r="AI102" s="303"/>
      <c r="AJ102" s="397" t="s">
        <v>565</v>
      </c>
      <c r="AK102" s="433">
        <v>42958</v>
      </c>
      <c r="AL102" s="434" t="s">
        <v>576</v>
      </c>
      <c r="AM102" s="302"/>
      <c r="AN102" s="302"/>
      <c r="AO102" s="302"/>
      <c r="AP102" s="302"/>
      <c r="AS102" s="169">
        <f t="shared" si="63"/>
        <v>0.68933478167324325</v>
      </c>
      <c r="AT102" s="46">
        <f t="shared" si="64"/>
        <v>3295.5</v>
      </c>
      <c r="AU102" s="171">
        <f t="shared" si="56"/>
        <v>209.17456582407624</v>
      </c>
      <c r="AV102" s="171">
        <f t="shared" si="65"/>
        <v>106.25094826278259</v>
      </c>
      <c r="AW102" s="171">
        <f t="shared" si="66"/>
        <v>52.15</v>
      </c>
      <c r="AX102" s="171"/>
      <c r="AY102" s="171">
        <f t="shared" si="67"/>
        <v>1</v>
      </c>
      <c r="AZ102" s="318">
        <v>1.2</v>
      </c>
      <c r="BA102" s="171">
        <f t="shared" si="68"/>
        <v>0</v>
      </c>
      <c r="BB102" s="171">
        <f t="shared" si="62"/>
        <v>0</v>
      </c>
      <c r="BC102" s="258">
        <f t="shared" si="70"/>
        <v>368.57551408685879</v>
      </c>
    </row>
    <row r="103" spans="1:55">
      <c r="A103" s="83" t="s">
        <v>605</v>
      </c>
      <c r="B103" s="83" t="s">
        <v>594</v>
      </c>
      <c r="C103" s="83" t="s">
        <v>632</v>
      </c>
      <c r="D103" s="83" t="s">
        <v>26</v>
      </c>
      <c r="E103" s="398" t="s">
        <v>551</v>
      </c>
      <c r="F103" s="83">
        <v>2015</v>
      </c>
      <c r="G103" s="83">
        <v>2015</v>
      </c>
      <c r="H103" s="83">
        <v>0.1</v>
      </c>
      <c r="I103" s="372"/>
      <c r="J103" s="372"/>
      <c r="K103" s="83">
        <f>(50+45)/2/100</f>
        <v>0.47499999999999998</v>
      </c>
      <c r="L103" s="372"/>
      <c r="M103" s="372"/>
      <c r="N103" s="372"/>
      <c r="O103" s="372">
        <v>0.9</v>
      </c>
      <c r="P103" s="372"/>
      <c r="Q103" s="78">
        <f>(O103-K103)/K103</f>
        <v>0.89473684210526327</v>
      </c>
      <c r="R103" s="372"/>
      <c r="S103" s="372"/>
      <c r="T103" s="84">
        <f t="shared" ref="T103:T105" si="71">AN103*Euro</f>
        <v>37.25</v>
      </c>
      <c r="U103" s="84">
        <f t="shared" ref="U103:U105" si="72">AO103*Euro/1000000</f>
        <v>0</v>
      </c>
      <c r="V103" s="84">
        <f t="shared" ref="V103:V105" si="73">AP103*Euro/3.6</f>
        <v>51.736111111111107</v>
      </c>
      <c r="W103" s="396">
        <v>3.1536000000000002E-2</v>
      </c>
      <c r="X103" s="469">
        <v>1</v>
      </c>
      <c r="Y103" s="83"/>
      <c r="Z103" s="83">
        <v>6</v>
      </c>
      <c r="AA103" s="372"/>
      <c r="AB103" s="372"/>
      <c r="AC103" s="372"/>
      <c r="AD103" s="372"/>
      <c r="AE103" s="372"/>
      <c r="AF103" s="83"/>
      <c r="AG103" s="372"/>
      <c r="AH103" s="372"/>
      <c r="AI103" s="372"/>
      <c r="AJ103" s="397" t="s">
        <v>209</v>
      </c>
      <c r="AK103" s="433">
        <v>42958</v>
      </c>
      <c r="AL103" s="434" t="s">
        <v>576</v>
      </c>
      <c r="AM103" s="302"/>
      <c r="AN103" s="302">
        <v>5</v>
      </c>
      <c r="AO103" s="302"/>
      <c r="AP103" s="302">
        <v>25</v>
      </c>
      <c r="AS103" s="169">
        <f t="shared" ref="AS103" si="74">-PMT($AT$10,Z103,T103)</f>
        <v>7.1058808684212877</v>
      </c>
      <c r="AT103" s="46">
        <f t="shared" ref="AT103" si="75">8760*X103</f>
        <v>8760</v>
      </c>
      <c r="AU103" s="171">
        <f t="shared" ref="AU103" si="76">AS103/AT103*(1000000)</f>
        <v>811.17361511658532</v>
      </c>
      <c r="AV103" s="171">
        <f t="shared" ref="AV103" si="77">U103/AT103*(1000000)</f>
        <v>0</v>
      </c>
      <c r="AW103" s="171">
        <f t="shared" ref="AW103" si="78">V103*1000*3.6/1000</f>
        <v>186.25</v>
      </c>
      <c r="AX103" s="171">
        <f t="array" aca="1" ref="AX103" ca="1">3.6*FuelPriceRAMSES!$X$38*INDEX(FuelPriceRAMSES!$R$33:$R$63,MATCH(RIGHT(INDIRECT("E"&amp;ROW()),2),RIGHT(FuelPriceRAMSES!$Q$33:$Q$63,2),0))</f>
        <v>100.43101642105255</v>
      </c>
      <c r="AY103" s="171">
        <f>1/K103</f>
        <v>2.1052631578947367</v>
      </c>
      <c r="AZ103" s="318">
        <v>1.2</v>
      </c>
      <c r="BA103" s="171">
        <f t="shared" ref="BA103" si="79">IF(O103=0,0,(O103-K103)/AZ103)</f>
        <v>0.35416666666666674</v>
      </c>
      <c r="BB103" s="171">
        <f ca="1">AX103*(AY103-BA103)</f>
        <v>175.86440046537379</v>
      </c>
      <c r="BC103" s="258">
        <f t="shared" ref="BC103" ca="1" si="80">SUM(AU103:AY103)</f>
        <v>1099.9598946955327</v>
      </c>
    </row>
    <row r="104" spans="1:55">
      <c r="A104" s="83"/>
      <c r="B104" s="83"/>
      <c r="C104" s="83"/>
      <c r="D104" s="83" t="s">
        <v>99</v>
      </c>
      <c r="E104" s="398" t="s">
        <v>551</v>
      </c>
      <c r="F104" s="83"/>
      <c r="G104" s="83"/>
      <c r="H104" s="83"/>
      <c r="I104" s="372"/>
      <c r="J104" s="372"/>
      <c r="K104" s="83"/>
      <c r="L104" s="372"/>
      <c r="M104" s="372"/>
      <c r="N104" s="372"/>
      <c r="O104" s="372"/>
      <c r="P104" s="372"/>
      <c r="Q104" s="78"/>
      <c r="R104" s="372"/>
      <c r="S104" s="372"/>
      <c r="T104" s="84"/>
      <c r="U104" s="84"/>
      <c r="V104" s="84"/>
      <c r="W104" s="396"/>
      <c r="X104" s="469"/>
      <c r="Y104" s="83"/>
      <c r="Z104" s="83"/>
      <c r="AA104" s="372"/>
      <c r="AB104" s="372"/>
      <c r="AC104" s="372"/>
      <c r="AD104" s="372"/>
      <c r="AE104" s="372"/>
      <c r="AF104" s="83"/>
      <c r="AG104" s="372"/>
      <c r="AH104" s="372"/>
      <c r="AI104" s="372"/>
      <c r="AJ104" s="397"/>
      <c r="AK104" s="433"/>
      <c r="AL104" s="434"/>
      <c r="AM104" s="302"/>
      <c r="AN104" s="302"/>
      <c r="AO104" s="302"/>
      <c r="AP104" s="302"/>
      <c r="AS104" s="169"/>
      <c r="AU104" s="171"/>
      <c r="AV104" s="171"/>
      <c r="AW104" s="171"/>
      <c r="AX104" s="171"/>
      <c r="AY104" s="171"/>
      <c r="AZ104" s="318"/>
      <c r="BA104" s="171"/>
      <c r="BB104" s="171"/>
      <c r="BC104" s="258"/>
    </row>
    <row r="105" spans="1:55">
      <c r="A105" s="83"/>
      <c r="B105" s="83"/>
      <c r="C105" s="83"/>
      <c r="D105" s="83"/>
      <c r="E105" s="398" t="s">
        <v>551</v>
      </c>
      <c r="F105" s="83">
        <v>2020</v>
      </c>
      <c r="G105" s="83"/>
      <c r="H105" s="83">
        <v>1</v>
      </c>
      <c r="I105" s="372"/>
      <c r="J105" s="372"/>
      <c r="K105" s="83">
        <f>(55+50)/2/100</f>
        <v>0.52500000000000002</v>
      </c>
      <c r="L105" s="372"/>
      <c r="M105" s="372"/>
      <c r="N105" s="372"/>
      <c r="O105" s="372">
        <v>0.92</v>
      </c>
      <c r="P105" s="372"/>
      <c r="Q105" s="78">
        <f>(O105-K105)/K105</f>
        <v>0.75238095238095237</v>
      </c>
      <c r="R105" s="372"/>
      <c r="S105" s="372"/>
      <c r="T105" s="84">
        <f t="shared" si="71"/>
        <v>11.175000000000001</v>
      </c>
      <c r="U105" s="84">
        <f t="shared" si="72"/>
        <v>0</v>
      </c>
      <c r="V105" s="84">
        <f t="shared" si="73"/>
        <v>20.694444444444443</v>
      </c>
      <c r="W105" s="396">
        <v>3.1536000000000002E-2</v>
      </c>
      <c r="X105" s="469">
        <v>1</v>
      </c>
      <c r="Y105" s="83"/>
      <c r="Z105" s="83">
        <v>15</v>
      </c>
      <c r="AA105" s="372"/>
      <c r="AB105" s="372"/>
      <c r="AC105" s="372"/>
      <c r="AD105" s="372"/>
      <c r="AE105" s="372"/>
      <c r="AF105" s="83"/>
      <c r="AG105" s="372"/>
      <c r="AH105" s="372"/>
      <c r="AI105" s="372"/>
      <c r="AJ105" s="397" t="s">
        <v>209</v>
      </c>
      <c r="AK105" s="433">
        <v>42958</v>
      </c>
      <c r="AL105" s="434" t="s">
        <v>576</v>
      </c>
      <c r="AM105" s="302"/>
      <c r="AN105" s="302">
        <v>1.5</v>
      </c>
      <c r="AO105" s="302"/>
      <c r="AP105" s="302">
        <v>10</v>
      </c>
      <c r="AS105" s="169">
        <f t="shared" ref="AS105:AS107" si="81">-PMT($AT$10,Z105,T105)</f>
        <v>1.0050917966456256</v>
      </c>
      <c r="AT105" s="46">
        <f t="shared" ref="AT105:AT107" si="82">8760*X105</f>
        <v>8760</v>
      </c>
      <c r="AU105" s="171">
        <f t="shared" ref="AU105:AU107" si="83">AS105/AT105*(1000000)</f>
        <v>114.73650646639561</v>
      </c>
      <c r="AV105" s="171">
        <f t="shared" ref="AV105:AV107" si="84">U105/AT105*(1000000)</f>
        <v>0</v>
      </c>
      <c r="AW105" s="171">
        <f t="shared" ref="AW105:AW107" si="85">V105*1000*3.6/1000</f>
        <v>74.499999999999986</v>
      </c>
      <c r="AX105" s="171">
        <f t="array" aca="1" ref="AX105" ca="1">3.6*FuelPriceRAMSES!$X$43*INDEX(FuelPriceRAMSES!$R$33:$R$63,MATCH(RIGHT(INDIRECT("E"&amp;ROW()),2),RIGHT(FuelPriceRAMSES!$Q$33:$Q$63,2),0))</f>
        <v>137.73312000000001</v>
      </c>
      <c r="AY105" s="171">
        <f t="shared" ref="AY105:AY107" si="86">1/K105</f>
        <v>1.9047619047619047</v>
      </c>
      <c r="AZ105" s="318">
        <v>1.2</v>
      </c>
      <c r="BA105" s="171">
        <f t="shared" ref="BA105:BA107" si="87">IF(O105=0,0,(O105-K105)/AZ105)</f>
        <v>0.32916666666666672</v>
      </c>
      <c r="BB105" s="171">
        <f ca="1">AX105*(AY105-BA105)</f>
        <v>217.01164800000001</v>
      </c>
      <c r="BC105" s="258">
        <f t="shared" ref="BC105:BC107" ca="1" si="88">SUM(AU105:AY105)</f>
        <v>328.87438837115758</v>
      </c>
    </row>
    <row r="106" spans="1:55">
      <c r="A106" s="83"/>
      <c r="B106" s="83"/>
      <c r="C106" s="83"/>
      <c r="D106" s="83"/>
      <c r="E106" s="398" t="s">
        <v>551</v>
      </c>
      <c r="F106" s="83">
        <v>2030</v>
      </c>
      <c r="G106" s="83"/>
      <c r="H106" s="83">
        <v>10</v>
      </c>
      <c r="I106" s="372"/>
      <c r="J106" s="372"/>
      <c r="K106" s="83">
        <f>(60+52)/2/100</f>
        <v>0.56000000000000005</v>
      </c>
      <c r="L106" s="372"/>
      <c r="M106" s="372"/>
      <c r="N106" s="372"/>
      <c r="O106" s="372">
        <v>0.95</v>
      </c>
      <c r="P106" s="372"/>
      <c r="Q106" s="78">
        <f>(O106-K106)/K106</f>
        <v>0.69642857142857117</v>
      </c>
      <c r="R106" s="372"/>
      <c r="S106" s="372"/>
      <c r="T106" s="84">
        <f t="shared" ref="T106:T107" si="89">AN106*Euro</f>
        <v>5.9600000000000009</v>
      </c>
      <c r="U106" s="84">
        <f t="shared" ref="U106:U107" si="90">AO106*Euro/1000000</f>
        <v>0</v>
      </c>
      <c r="V106" s="84">
        <f t="shared" ref="V106:V107" si="91">AP106*Euro/3.6</f>
        <v>8.2777777777777786</v>
      </c>
      <c r="W106" s="396">
        <v>3.1536000000000002E-2</v>
      </c>
      <c r="X106" s="469">
        <v>1</v>
      </c>
      <c r="Y106" s="83"/>
      <c r="Z106" s="83">
        <v>20</v>
      </c>
      <c r="AA106" s="372"/>
      <c r="AB106" s="372"/>
      <c r="AC106" s="372"/>
      <c r="AD106" s="372"/>
      <c r="AE106" s="372"/>
      <c r="AF106" s="83"/>
      <c r="AG106" s="372"/>
      <c r="AH106" s="372"/>
      <c r="AI106" s="372"/>
      <c r="AJ106" s="397" t="s">
        <v>209</v>
      </c>
      <c r="AK106" s="433">
        <v>42958</v>
      </c>
      <c r="AL106" s="434" t="s">
        <v>576</v>
      </c>
      <c r="AM106" s="302"/>
      <c r="AN106" s="302">
        <v>0.8</v>
      </c>
      <c r="AO106" s="302"/>
      <c r="AP106" s="302">
        <v>4</v>
      </c>
      <c r="AS106" s="169">
        <f t="shared" si="81"/>
        <v>0.43854723195862827</v>
      </c>
      <c r="AT106" s="46">
        <f t="shared" si="82"/>
        <v>8760</v>
      </c>
      <c r="AU106" s="171">
        <f t="shared" si="83"/>
        <v>50.062469401669894</v>
      </c>
      <c r="AV106" s="171">
        <f t="shared" si="84"/>
        <v>0</v>
      </c>
      <c r="AW106" s="171">
        <f t="shared" si="85"/>
        <v>29.800000000000008</v>
      </c>
      <c r="AX106" s="171">
        <f t="array" aca="1" ref="AX106" ca="1">3.6*FuelPriceRAMSES!$X$53*INDEX(FuelPriceRAMSES!$R$33:$R$63,MATCH(RIGHT(INDIRECT("E"&amp;ROW()),2),RIGHT(FuelPriceRAMSES!$Q$33:$Q$63,2),0))</f>
        <v>228.03264000000001</v>
      </c>
      <c r="AY106" s="171">
        <f t="shared" si="86"/>
        <v>1.7857142857142856</v>
      </c>
      <c r="AZ106" s="318">
        <v>1.2</v>
      </c>
      <c r="BA106" s="171">
        <f t="shared" si="87"/>
        <v>0.32499999999999996</v>
      </c>
      <c r="BB106" s="171">
        <f t="shared" ref="BB106:BB107" ca="1" si="92">AX106*(AY106-BA106)</f>
        <v>333.09053485714287</v>
      </c>
      <c r="BC106" s="258">
        <f t="shared" ca="1" si="88"/>
        <v>309.68082368738419</v>
      </c>
    </row>
    <row r="107" spans="1:55">
      <c r="A107" s="83"/>
      <c r="B107" s="83"/>
      <c r="C107" s="83"/>
      <c r="D107" s="83"/>
      <c r="E107" s="398" t="s">
        <v>551</v>
      </c>
      <c r="F107" s="83">
        <v>2050</v>
      </c>
      <c r="G107" s="83"/>
      <c r="H107" s="83">
        <v>100</v>
      </c>
      <c r="I107" s="372"/>
      <c r="J107" s="372"/>
      <c r="K107" s="83">
        <f>(63+55)/2/100</f>
        <v>0.59</v>
      </c>
      <c r="L107" s="372"/>
      <c r="M107" s="372"/>
      <c r="N107" s="372"/>
      <c r="O107" s="372">
        <v>0.97</v>
      </c>
      <c r="P107" s="372"/>
      <c r="Q107" s="78">
        <f>(O107-K107)/K107</f>
        <v>0.64406779661016955</v>
      </c>
      <c r="R107" s="372"/>
      <c r="S107" s="372"/>
      <c r="T107" s="84">
        <f t="shared" si="89"/>
        <v>3.7250000000000001</v>
      </c>
      <c r="U107" s="84">
        <f t="shared" si="90"/>
        <v>0</v>
      </c>
      <c r="V107" s="84">
        <f t="shared" si="91"/>
        <v>6.2083333333333339</v>
      </c>
      <c r="W107" s="396">
        <v>3.1536000000000002E-2</v>
      </c>
      <c r="X107" s="469">
        <v>1</v>
      </c>
      <c r="Y107" s="83"/>
      <c r="Z107" s="83">
        <v>20</v>
      </c>
      <c r="AA107" s="372"/>
      <c r="AB107" s="372"/>
      <c r="AC107" s="372"/>
      <c r="AD107" s="372"/>
      <c r="AE107" s="372"/>
      <c r="AF107" s="83"/>
      <c r="AG107" s="372"/>
      <c r="AH107" s="372"/>
      <c r="AI107" s="372"/>
      <c r="AJ107" s="397" t="s">
        <v>209</v>
      </c>
      <c r="AK107" s="433">
        <v>42958</v>
      </c>
      <c r="AL107" s="434" t="s">
        <v>576</v>
      </c>
      <c r="AM107" s="302"/>
      <c r="AN107" s="302">
        <v>0.5</v>
      </c>
      <c r="AO107" s="302"/>
      <c r="AP107" s="302">
        <v>3</v>
      </c>
      <c r="AS107" s="169">
        <f t="shared" si="81"/>
        <v>0.27409201997414262</v>
      </c>
      <c r="AT107" s="46">
        <f t="shared" si="82"/>
        <v>8760</v>
      </c>
      <c r="AU107" s="171">
        <f t="shared" si="83"/>
        <v>31.289043376043683</v>
      </c>
      <c r="AV107" s="171">
        <f t="shared" si="84"/>
        <v>0</v>
      </c>
      <c r="AW107" s="171">
        <f t="shared" si="85"/>
        <v>22.350000000000005</v>
      </c>
      <c r="AX107" s="171">
        <f t="array" aca="1" ref="AX107" ca="1">3.6*FuelPriceRAMSES!$X$58*INDEX(FuelPriceRAMSES!$R$33:$R$63,MATCH(RIGHT(INDIRECT("E"&amp;ROW()),2),RIGHT(FuelPriceRAMSES!$Q$33:$Q$63,2),0))</f>
        <v>260.00640000000004</v>
      </c>
      <c r="AY107" s="171">
        <f t="shared" si="86"/>
        <v>1.6949152542372883</v>
      </c>
      <c r="AZ107" s="318">
        <v>1.2</v>
      </c>
      <c r="BA107" s="171">
        <f t="shared" si="87"/>
        <v>0.31666666666666671</v>
      </c>
      <c r="BB107" s="171">
        <f t="shared" ca="1" si="92"/>
        <v>358.35345355932213</v>
      </c>
      <c r="BC107" s="258">
        <f t="shared" ca="1" si="88"/>
        <v>315.340358630281</v>
      </c>
    </row>
    <row r="108" spans="1:55">
      <c r="A108" s="83" t="s">
        <v>606</v>
      </c>
      <c r="B108" s="83" t="s">
        <v>595</v>
      </c>
      <c r="C108" s="83" t="s">
        <v>632</v>
      </c>
      <c r="D108" s="83" t="s">
        <v>26</v>
      </c>
      <c r="E108" s="398" t="s">
        <v>551</v>
      </c>
      <c r="F108" s="83">
        <v>2015</v>
      </c>
      <c r="G108" s="83">
        <v>2015</v>
      </c>
      <c r="H108" s="83">
        <v>0.1</v>
      </c>
      <c r="I108" s="372"/>
      <c r="J108" s="372"/>
      <c r="K108" s="83">
        <f>(50+45)/2/100</f>
        <v>0.47499999999999998</v>
      </c>
      <c r="L108" s="372"/>
      <c r="M108" s="372"/>
      <c r="N108" s="372"/>
      <c r="O108" s="372">
        <v>0.9</v>
      </c>
      <c r="P108" s="372"/>
      <c r="Q108" s="78">
        <f>(O108-K108)/K108</f>
        <v>0.89473684210526327</v>
      </c>
      <c r="R108" s="372"/>
      <c r="S108" s="372"/>
      <c r="T108" s="84">
        <f t="shared" ref="T108" si="93">AN108*Euro</f>
        <v>37.25</v>
      </c>
      <c r="U108" s="84">
        <f t="shared" ref="U108" si="94">AO108*Euro/1000000</f>
        <v>0</v>
      </c>
      <c r="V108" s="84">
        <f t="shared" ref="V108" si="95">AP108*Euro/3.6</f>
        <v>51.736111111111107</v>
      </c>
      <c r="W108" s="396">
        <v>3.1536000000000002E-2</v>
      </c>
      <c r="X108" s="469">
        <v>1</v>
      </c>
      <c r="Y108" s="83"/>
      <c r="Z108" s="83">
        <v>6</v>
      </c>
      <c r="AA108" s="372"/>
      <c r="AB108" s="372"/>
      <c r="AC108" s="372"/>
      <c r="AD108" s="372"/>
      <c r="AE108" s="372"/>
      <c r="AF108" s="83"/>
      <c r="AG108" s="372"/>
      <c r="AH108" s="372"/>
      <c r="AI108" s="372"/>
      <c r="AJ108" s="397" t="s">
        <v>209</v>
      </c>
      <c r="AK108" s="433">
        <v>42958</v>
      </c>
      <c r="AL108" s="434" t="s">
        <v>576</v>
      </c>
      <c r="AM108" s="302"/>
      <c r="AN108" s="302">
        <v>5</v>
      </c>
      <c r="AO108" s="302"/>
      <c r="AP108" s="302">
        <v>25</v>
      </c>
      <c r="AS108" s="169">
        <f t="shared" ref="AS108" si="96">-PMT($AT$10,Z108,T108)</f>
        <v>7.1058808684212877</v>
      </c>
      <c r="AT108" s="46">
        <f t="shared" ref="AT108" si="97">8760*X108</f>
        <v>8760</v>
      </c>
      <c r="AU108" s="171">
        <f t="shared" ref="AU108" si="98">AS108/AT108*(1000000)</f>
        <v>811.17361511658532</v>
      </c>
      <c r="AV108" s="171">
        <f t="shared" ref="AV108" si="99">U108/AT108*(1000000)</f>
        <v>0</v>
      </c>
      <c r="AW108" s="171">
        <f t="shared" ref="AW108" si="100">V108*1000*3.6/1000</f>
        <v>186.25</v>
      </c>
      <c r="AX108" s="171">
        <f t="array" aca="1" ref="AX108" ca="1">3.6*FuelPriceRAMSES!$X$38*INDEX(FuelPriceRAMSES!$R$33:$R$63,MATCH(RIGHT(INDIRECT("E"&amp;ROW()),2),RIGHT(FuelPriceRAMSES!$Q$33:$Q$63,2),0))</f>
        <v>100.43101642105255</v>
      </c>
      <c r="AY108" s="171">
        <f>1/K108</f>
        <v>2.1052631578947367</v>
      </c>
      <c r="AZ108" s="318">
        <v>1.2</v>
      </c>
      <c r="BA108" s="171">
        <f t="shared" ref="BA108" si="101">IF(O108=0,0,(O108-K108)/AZ108)</f>
        <v>0.35416666666666674</v>
      </c>
      <c r="BB108" s="171">
        <f ca="1">AX108*(AY108-BA108)</f>
        <v>175.86440046537379</v>
      </c>
      <c r="BC108" s="258">
        <f t="shared" ref="BC108" ca="1" si="102">SUM(AU108:AY108)</f>
        <v>1099.9598946955327</v>
      </c>
    </row>
    <row r="109" spans="1:55">
      <c r="A109" s="83"/>
      <c r="B109" s="83"/>
      <c r="C109" s="83"/>
      <c r="D109" s="83" t="s">
        <v>99</v>
      </c>
      <c r="E109" s="398" t="s">
        <v>551</v>
      </c>
      <c r="F109" s="83"/>
      <c r="G109" s="83"/>
      <c r="H109" s="83"/>
      <c r="I109" s="372"/>
      <c r="J109" s="372"/>
      <c r="K109" s="83"/>
      <c r="L109" s="372"/>
      <c r="M109" s="372"/>
      <c r="N109" s="372"/>
      <c r="O109" s="372"/>
      <c r="P109" s="372"/>
      <c r="Q109" s="78"/>
      <c r="R109" s="372"/>
      <c r="S109" s="372"/>
      <c r="T109" s="84"/>
      <c r="U109" s="84"/>
      <c r="V109" s="84"/>
      <c r="W109" s="396"/>
      <c r="X109" s="469"/>
      <c r="Y109" s="83"/>
      <c r="Z109" s="83"/>
      <c r="AA109" s="372"/>
      <c r="AB109" s="372"/>
      <c r="AC109" s="372"/>
      <c r="AD109" s="372"/>
      <c r="AE109" s="372"/>
      <c r="AF109" s="83"/>
      <c r="AG109" s="372"/>
      <c r="AH109" s="372"/>
      <c r="AI109" s="372"/>
      <c r="AJ109" s="397"/>
      <c r="AK109" s="433"/>
      <c r="AL109" s="434"/>
      <c r="AM109" s="302"/>
      <c r="AN109" s="302"/>
      <c r="AO109" s="302"/>
      <c r="AP109" s="302"/>
      <c r="AS109" s="169"/>
      <c r="AU109" s="171"/>
      <c r="AV109" s="171"/>
      <c r="AW109" s="171"/>
      <c r="AX109" s="171"/>
      <c r="AY109" s="171"/>
      <c r="AZ109" s="318"/>
      <c r="BA109" s="171"/>
      <c r="BB109" s="171"/>
      <c r="BC109" s="258"/>
    </row>
    <row r="110" spans="1:55">
      <c r="A110" s="83"/>
      <c r="B110" s="83"/>
      <c r="C110" s="83"/>
      <c r="D110" s="83"/>
      <c r="E110" s="398" t="s">
        <v>551</v>
      </c>
      <c r="F110" s="83">
        <v>2020</v>
      </c>
      <c r="G110" s="83"/>
      <c r="H110" s="83">
        <v>1</v>
      </c>
      <c r="I110" s="372"/>
      <c r="J110" s="372"/>
      <c r="K110" s="83">
        <f>(55+50)/2/100</f>
        <v>0.52500000000000002</v>
      </c>
      <c r="L110" s="372"/>
      <c r="M110" s="372"/>
      <c r="N110" s="372"/>
      <c r="O110" s="372">
        <v>0.92</v>
      </c>
      <c r="P110" s="372"/>
      <c r="Q110" s="78">
        <f>(O110-K110)/K110</f>
        <v>0.75238095238095237</v>
      </c>
      <c r="R110" s="372"/>
      <c r="S110" s="372"/>
      <c r="T110" s="84">
        <f t="shared" ref="T110" si="103">AN110*Euro</f>
        <v>11.175000000000001</v>
      </c>
      <c r="U110" s="84">
        <f t="shared" ref="U110" si="104">AO110*Euro/1000000</f>
        <v>0</v>
      </c>
      <c r="V110" s="84">
        <f t="shared" ref="V110" si="105">AP110*Euro/3.6</f>
        <v>20.694444444444443</v>
      </c>
      <c r="W110" s="396">
        <v>3.1536000000000002E-2</v>
      </c>
      <c r="X110" s="469">
        <v>1</v>
      </c>
      <c r="Y110" s="83"/>
      <c r="Z110" s="83">
        <v>15</v>
      </c>
      <c r="AA110" s="372"/>
      <c r="AB110" s="372"/>
      <c r="AC110" s="372"/>
      <c r="AD110" s="372"/>
      <c r="AE110" s="372"/>
      <c r="AF110" s="83"/>
      <c r="AG110" s="372"/>
      <c r="AH110" s="372"/>
      <c r="AI110" s="372"/>
      <c r="AJ110" s="397" t="s">
        <v>209</v>
      </c>
      <c r="AK110" s="433">
        <v>42958</v>
      </c>
      <c r="AL110" s="434" t="s">
        <v>576</v>
      </c>
      <c r="AM110" s="302"/>
      <c r="AN110" s="302">
        <v>1.5</v>
      </c>
      <c r="AO110" s="302"/>
      <c r="AP110" s="302">
        <v>10</v>
      </c>
      <c r="AS110" s="169">
        <f t="shared" ref="AS110" si="106">-PMT($AT$10,Z110,T110)</f>
        <v>1.0050917966456256</v>
      </c>
      <c r="AT110" s="46">
        <f t="shared" ref="AT110" si="107">8760*X110</f>
        <v>8760</v>
      </c>
      <c r="AU110" s="171">
        <f t="shared" ref="AU110" si="108">AS110/AT110*(1000000)</f>
        <v>114.73650646639561</v>
      </c>
      <c r="AV110" s="171">
        <f t="shared" ref="AV110" si="109">U110/AT110*(1000000)</f>
        <v>0</v>
      </c>
      <c r="AW110" s="171">
        <f t="shared" ref="AW110" si="110">V110*1000*3.6/1000</f>
        <v>74.499999999999986</v>
      </c>
      <c r="AX110" s="171">
        <f t="array" aca="1" ref="AX110" ca="1">3.6*FuelPriceRAMSES!$X$43*INDEX(FuelPriceRAMSES!$R$33:$R$63,MATCH(RIGHT(INDIRECT("E"&amp;ROW()),2),RIGHT(FuelPriceRAMSES!$Q$33:$Q$63,2),0))</f>
        <v>137.73312000000001</v>
      </c>
      <c r="AY110" s="171">
        <f t="shared" ref="AY110" si="111">1/K110</f>
        <v>1.9047619047619047</v>
      </c>
      <c r="AZ110" s="318">
        <v>1.2</v>
      </c>
      <c r="BA110" s="171">
        <f t="shared" ref="BA110" si="112">IF(O110=0,0,(O110-K110)/AZ110)</f>
        <v>0.32916666666666672</v>
      </c>
      <c r="BB110" s="171">
        <f ca="1">AX110*(AY110-BA110)</f>
        <v>217.01164800000001</v>
      </c>
      <c r="BC110" s="258">
        <f t="shared" ref="BC110" ca="1" si="113">SUM(AU110:AY110)</f>
        <v>328.87438837115758</v>
      </c>
    </row>
    <row r="111" spans="1:55">
      <c r="A111" s="83"/>
      <c r="B111" s="83"/>
      <c r="C111" s="83"/>
      <c r="D111" s="83"/>
      <c r="E111" s="398" t="s">
        <v>551</v>
      </c>
      <c r="F111" s="83">
        <v>2030</v>
      </c>
      <c r="G111" s="83"/>
      <c r="H111" s="83">
        <v>10</v>
      </c>
      <c r="I111" s="372"/>
      <c r="J111" s="372"/>
      <c r="K111" s="83">
        <f>(60+52)/2/100</f>
        <v>0.56000000000000005</v>
      </c>
      <c r="L111" s="372"/>
      <c r="M111" s="372"/>
      <c r="N111" s="372"/>
      <c r="O111" s="372">
        <v>0.95</v>
      </c>
      <c r="P111" s="372"/>
      <c r="Q111" s="78">
        <f>(O111-K111)/K111</f>
        <v>0.69642857142857117</v>
      </c>
      <c r="R111" s="372"/>
      <c r="S111" s="372"/>
      <c r="T111" s="84">
        <f t="shared" ref="T111" si="114">AN111*Euro</f>
        <v>5.9600000000000009</v>
      </c>
      <c r="U111" s="84">
        <f t="shared" ref="U111" si="115">AO111*Euro/1000000</f>
        <v>0</v>
      </c>
      <c r="V111" s="84">
        <f t="shared" ref="V111" si="116">AP111*Euro/3.6</f>
        <v>8.2777777777777786</v>
      </c>
      <c r="W111" s="396">
        <v>3.1536000000000002E-2</v>
      </c>
      <c r="X111" s="469">
        <v>1</v>
      </c>
      <c r="Y111" s="83"/>
      <c r="Z111" s="83">
        <v>20</v>
      </c>
      <c r="AA111" s="372"/>
      <c r="AB111" s="372"/>
      <c r="AC111" s="372"/>
      <c r="AD111" s="372"/>
      <c r="AE111" s="372"/>
      <c r="AF111" s="83"/>
      <c r="AG111" s="372"/>
      <c r="AH111" s="372"/>
      <c r="AI111" s="372"/>
      <c r="AJ111" s="397" t="s">
        <v>209</v>
      </c>
      <c r="AK111" s="433">
        <v>42958</v>
      </c>
      <c r="AL111" s="434" t="s">
        <v>576</v>
      </c>
      <c r="AM111" s="302"/>
      <c r="AN111" s="302">
        <v>0.8</v>
      </c>
      <c r="AO111" s="302"/>
      <c r="AP111" s="302">
        <v>4</v>
      </c>
      <c r="AS111" s="169">
        <f t="shared" ref="AS111" si="117">-PMT($AT$10,Z111,T111)</f>
        <v>0.43854723195862827</v>
      </c>
      <c r="AT111" s="46">
        <f t="shared" ref="AT111" si="118">8760*X111</f>
        <v>8760</v>
      </c>
      <c r="AU111" s="171">
        <f t="shared" ref="AU111" si="119">AS111/AT111*(1000000)</f>
        <v>50.062469401669894</v>
      </c>
      <c r="AV111" s="171">
        <f t="shared" ref="AV111" si="120">U111/AT111*(1000000)</f>
        <v>0</v>
      </c>
      <c r="AW111" s="171">
        <f t="shared" ref="AW111" si="121">V111*1000*3.6/1000</f>
        <v>29.800000000000008</v>
      </c>
      <c r="AX111" s="171">
        <f t="array" aca="1" ref="AX111" ca="1">3.6*FuelPriceRAMSES!$X$53*INDEX(FuelPriceRAMSES!$R$33:$R$63,MATCH(RIGHT(INDIRECT("E"&amp;ROW()),2),RIGHT(FuelPriceRAMSES!$Q$33:$Q$63,2),0))</f>
        <v>228.03264000000001</v>
      </c>
      <c r="AY111" s="171">
        <f t="shared" ref="AY111" si="122">1/K111</f>
        <v>1.7857142857142856</v>
      </c>
      <c r="AZ111" s="318">
        <v>1.2</v>
      </c>
      <c r="BA111" s="171">
        <f t="shared" ref="BA111" si="123">IF(O111=0,0,(O111-K111)/AZ111)</f>
        <v>0.32499999999999996</v>
      </c>
      <c r="BB111" s="171">
        <f t="shared" ref="BB111" ca="1" si="124">AX111*(AY111-BA111)</f>
        <v>333.09053485714287</v>
      </c>
      <c r="BC111" s="258">
        <f t="shared" ref="BC111" ca="1" si="125">SUM(AU111:AY111)</f>
        <v>309.68082368738419</v>
      </c>
    </row>
    <row r="112" spans="1:55">
      <c r="A112" s="83"/>
      <c r="B112" s="83"/>
      <c r="C112" s="83"/>
      <c r="D112" s="83"/>
      <c r="E112" s="398" t="s">
        <v>551</v>
      </c>
      <c r="F112" s="83">
        <v>2050</v>
      </c>
      <c r="G112" s="83"/>
      <c r="H112" s="83">
        <v>100</v>
      </c>
      <c r="I112" s="372"/>
      <c r="J112" s="372"/>
      <c r="K112" s="83">
        <f>(63+55)/2/100</f>
        <v>0.59</v>
      </c>
      <c r="L112" s="372"/>
      <c r="M112" s="372"/>
      <c r="N112" s="372"/>
      <c r="O112" s="372">
        <v>0.97</v>
      </c>
      <c r="P112" s="372"/>
      <c r="Q112" s="78">
        <f>(O112-K112)/K112</f>
        <v>0.64406779661016955</v>
      </c>
      <c r="R112" s="372"/>
      <c r="S112" s="372"/>
      <c r="T112" s="84">
        <f t="shared" ref="T112" si="126">AN112*Euro</f>
        <v>3.7250000000000001</v>
      </c>
      <c r="U112" s="84">
        <f t="shared" ref="U112" si="127">AO112*Euro/1000000</f>
        <v>0</v>
      </c>
      <c r="V112" s="84">
        <f t="shared" ref="V112" si="128">AP112*Euro/3.6</f>
        <v>6.2083333333333339</v>
      </c>
      <c r="W112" s="396">
        <v>3.1536000000000002E-2</v>
      </c>
      <c r="X112" s="469">
        <v>1</v>
      </c>
      <c r="Y112" s="83"/>
      <c r="Z112" s="83">
        <v>20</v>
      </c>
      <c r="AA112" s="372"/>
      <c r="AB112" s="372"/>
      <c r="AC112" s="372"/>
      <c r="AD112" s="372"/>
      <c r="AE112" s="372"/>
      <c r="AF112" s="83"/>
      <c r="AG112" s="372"/>
      <c r="AH112" s="372"/>
      <c r="AI112" s="372"/>
      <c r="AJ112" s="397" t="s">
        <v>209</v>
      </c>
      <c r="AK112" s="433">
        <v>42958</v>
      </c>
      <c r="AL112" s="434" t="s">
        <v>576</v>
      </c>
      <c r="AM112" s="302"/>
      <c r="AN112" s="302">
        <v>0.5</v>
      </c>
      <c r="AO112" s="302"/>
      <c r="AP112" s="302">
        <v>3</v>
      </c>
      <c r="AS112" s="169">
        <f t="shared" ref="AS112" si="129">-PMT($AT$10,Z112,T112)</f>
        <v>0.27409201997414262</v>
      </c>
      <c r="AT112" s="46">
        <f t="shared" ref="AT112" si="130">8760*X112</f>
        <v>8760</v>
      </c>
      <c r="AU112" s="171">
        <f t="shared" ref="AU112" si="131">AS112/AT112*(1000000)</f>
        <v>31.289043376043683</v>
      </c>
      <c r="AV112" s="171">
        <f t="shared" ref="AV112" si="132">U112/AT112*(1000000)</f>
        <v>0</v>
      </c>
      <c r="AW112" s="171">
        <f t="shared" ref="AW112" si="133">V112*1000*3.6/1000</f>
        <v>22.350000000000005</v>
      </c>
      <c r="AX112" s="171">
        <f t="array" aca="1" ref="AX112" ca="1">3.6*FuelPriceRAMSES!$X$58*INDEX(FuelPriceRAMSES!$R$33:$R$63,MATCH(RIGHT(INDIRECT("E"&amp;ROW()),2),RIGHT(FuelPriceRAMSES!$Q$33:$Q$63,2),0))</f>
        <v>260.00640000000004</v>
      </c>
      <c r="AY112" s="171">
        <f t="shared" ref="AY112" si="134">1/K112</f>
        <v>1.6949152542372883</v>
      </c>
      <c r="AZ112" s="318">
        <v>1.2</v>
      </c>
      <c r="BA112" s="171">
        <f t="shared" ref="BA112" si="135">IF(O112=0,0,(O112-K112)/AZ112)</f>
        <v>0.31666666666666671</v>
      </c>
      <c r="BB112" s="171">
        <f t="shared" ref="BB112" ca="1" si="136">AX112*(AY112-BA112)</f>
        <v>358.35345355932213</v>
      </c>
      <c r="BC112" s="258">
        <f t="shared" ref="BC112" ca="1" si="137">SUM(AU112:AY112)</f>
        <v>315.340358630281</v>
      </c>
    </row>
    <row r="113" spans="1:55" s="425" customFormat="1">
      <c r="A113" s="417" t="s">
        <v>451</v>
      </c>
      <c r="B113" s="83" t="s">
        <v>152</v>
      </c>
      <c r="C113" s="151" t="s">
        <v>199</v>
      </c>
      <c r="D113" s="75" t="s">
        <v>99</v>
      </c>
      <c r="E113" s="398" t="s">
        <v>551</v>
      </c>
      <c r="F113" s="372">
        <v>2015</v>
      </c>
      <c r="G113" s="372">
        <v>2015</v>
      </c>
      <c r="H113" s="83">
        <v>4</v>
      </c>
      <c r="I113" s="418">
        <f>L113</f>
        <v>0.2857142857142857</v>
      </c>
      <c r="J113" s="419"/>
      <c r="K113" s="422">
        <f>1/(L113+M113+N113)</f>
        <v>1</v>
      </c>
      <c r="L113" s="418">
        <f>1/3.5</f>
        <v>0.2857142857142857</v>
      </c>
      <c r="M113" s="418">
        <f>1-L113</f>
        <v>0.7142857142857143</v>
      </c>
      <c r="N113" s="419"/>
      <c r="O113" s="372"/>
      <c r="P113" s="394"/>
      <c r="Q113" s="394"/>
      <c r="R113" s="394"/>
      <c r="S113" s="400"/>
      <c r="T113" s="84">
        <f>0.7*Euro</f>
        <v>5.2149999999999999</v>
      </c>
      <c r="U113" s="292">
        <f t="shared" ref="U113:U120" si="138">2000*Euro/1000000</f>
        <v>1.49E-2</v>
      </c>
      <c r="V113" s="84">
        <f>2*Euro/3.6</f>
        <v>4.1388888888888893</v>
      </c>
      <c r="W113" s="77">
        <v>3.1536000000000002E-2</v>
      </c>
      <c r="X113" s="441">
        <v>0.98</v>
      </c>
      <c r="Y113" s="77">
        <v>1</v>
      </c>
      <c r="Z113" s="401">
        <v>25</v>
      </c>
      <c r="AA113" s="423"/>
      <c r="AB113" s="423"/>
      <c r="AC113" s="423"/>
      <c r="AD113" s="424"/>
      <c r="AE113" s="424"/>
      <c r="AF113" s="84">
        <v>0.5</v>
      </c>
      <c r="AJ113" s="397" t="s">
        <v>565</v>
      </c>
      <c r="AK113" s="433">
        <v>42958</v>
      </c>
      <c r="AL113" s="434" t="s">
        <v>576</v>
      </c>
      <c r="AM113" s="392"/>
      <c r="AN113" s="392"/>
      <c r="AO113" s="392"/>
      <c r="AP113" s="392"/>
      <c r="AQ113" s="426">
        <v>41545</v>
      </c>
      <c r="AR113" s="425" t="s">
        <v>334</v>
      </c>
      <c r="AS113" s="427">
        <f t="shared" si="63"/>
        <v>0.33382238593136071</v>
      </c>
      <c r="AT113" s="425">
        <f>AT102</f>
        <v>3295.5</v>
      </c>
      <c r="AU113" s="424">
        <f t="shared" si="56"/>
        <v>101.29643026289203</v>
      </c>
      <c r="AV113" s="424">
        <f t="shared" si="65"/>
        <v>4.5213169473524504</v>
      </c>
      <c r="AW113" s="424">
        <f t="shared" si="66"/>
        <v>14.900000000000004</v>
      </c>
      <c r="AX113" s="424"/>
      <c r="AY113" s="424"/>
      <c r="AZ113" s="428"/>
      <c r="BA113" s="424"/>
      <c r="BB113" s="424"/>
      <c r="BC113" s="424"/>
    </row>
    <row r="114" spans="1:55" s="425" customFormat="1">
      <c r="A114" s="372"/>
      <c r="B114" s="372"/>
      <c r="C114" s="85" t="s">
        <v>26</v>
      </c>
      <c r="D114" s="75"/>
      <c r="E114" s="398" t="s">
        <v>551</v>
      </c>
      <c r="F114" s="372">
        <v>2020</v>
      </c>
      <c r="G114" s="372"/>
      <c r="H114" s="372"/>
      <c r="I114" s="418">
        <f t="shared" ref="I114:I120" si="139">L114</f>
        <v>0.25</v>
      </c>
      <c r="J114" s="419"/>
      <c r="K114" s="422">
        <f t="shared" ref="K114:K120" si="140">1/(L114+M114+N114)</f>
        <v>1</v>
      </c>
      <c r="L114" s="418">
        <f>1/4</f>
        <v>0.25</v>
      </c>
      <c r="M114" s="418">
        <f t="shared" ref="M114:M116" si="141">1-L114</f>
        <v>0.75</v>
      </c>
      <c r="N114" s="419"/>
      <c r="O114" s="372"/>
      <c r="P114" s="394"/>
      <c r="Q114" s="394"/>
      <c r="R114" s="394"/>
      <c r="S114" s="394"/>
      <c r="T114" s="84">
        <f>0.66*Euro</f>
        <v>4.9170000000000007</v>
      </c>
      <c r="U114" s="292">
        <f t="shared" si="138"/>
        <v>1.49E-2</v>
      </c>
      <c r="V114" s="84">
        <f>1.8*Euro/3.6</f>
        <v>3.7250000000000001</v>
      </c>
      <c r="W114" s="77"/>
      <c r="X114" s="304"/>
      <c r="Y114" s="77"/>
      <c r="Z114" s="304"/>
      <c r="AA114" s="423"/>
      <c r="AB114" s="423"/>
      <c r="AC114" s="423"/>
      <c r="AD114" s="424"/>
      <c r="AE114" s="424">
        <v>5</v>
      </c>
      <c r="AF114" s="305"/>
      <c r="AJ114" s="397" t="s">
        <v>565</v>
      </c>
      <c r="AK114" s="433">
        <v>42958</v>
      </c>
      <c r="AL114" s="434" t="s">
        <v>576</v>
      </c>
      <c r="AM114" s="392"/>
      <c r="AN114" s="392"/>
      <c r="AO114" s="392"/>
      <c r="AP114" s="392"/>
      <c r="AQ114" s="426">
        <v>41545</v>
      </c>
      <c r="AR114" s="425" t="s">
        <v>334</v>
      </c>
      <c r="AS114" s="427">
        <f>-PMT($AT$10,Z113,T114)</f>
        <v>0.31474682102099732</v>
      </c>
      <c r="AT114" s="425">
        <f t="shared" ref="AT114:AT160" si="142">AT113</f>
        <v>3295.5</v>
      </c>
      <c r="AU114" s="424">
        <f t="shared" si="56"/>
        <v>95.508062819298232</v>
      </c>
      <c r="AV114" s="424">
        <f t="shared" si="65"/>
        <v>4.5213169473524504</v>
      </c>
      <c r="AW114" s="424">
        <f t="shared" si="66"/>
        <v>13.41</v>
      </c>
      <c r="AX114" s="424"/>
      <c r="AY114" s="424"/>
      <c r="AZ114" s="428"/>
      <c r="BA114" s="424"/>
      <c r="BB114" s="424"/>
      <c r="BC114" s="424"/>
    </row>
    <row r="115" spans="1:55" s="425" customFormat="1">
      <c r="A115" s="372"/>
      <c r="B115" s="372"/>
      <c r="C115" s="85"/>
      <c r="D115" s="75"/>
      <c r="E115" s="398" t="s">
        <v>551</v>
      </c>
      <c r="F115" s="372">
        <v>2030</v>
      </c>
      <c r="G115" s="372"/>
      <c r="H115" s="372"/>
      <c r="I115" s="418">
        <f t="shared" si="139"/>
        <v>0.20833333333333334</v>
      </c>
      <c r="J115" s="419"/>
      <c r="K115" s="422">
        <f t="shared" si="140"/>
        <v>1</v>
      </c>
      <c r="L115" s="418">
        <f>1/4.8</f>
        <v>0.20833333333333334</v>
      </c>
      <c r="M115" s="418">
        <f t="shared" si="141"/>
        <v>0.79166666666666663</v>
      </c>
      <c r="N115" s="419"/>
      <c r="O115" s="372"/>
      <c r="P115" s="394"/>
      <c r="Q115" s="394"/>
      <c r="R115" s="394"/>
      <c r="S115" s="394"/>
      <c r="T115" s="84">
        <f>0.59*Euro</f>
        <v>4.3955000000000002</v>
      </c>
      <c r="U115" s="292">
        <f t="shared" si="138"/>
        <v>1.49E-2</v>
      </c>
      <c r="V115" s="84">
        <f>1.7*Euro/3.6</f>
        <v>3.5180555555555553</v>
      </c>
      <c r="W115" s="77"/>
      <c r="X115" s="304"/>
      <c r="Y115" s="77"/>
      <c r="Z115" s="304"/>
      <c r="AA115" s="423"/>
      <c r="AB115" s="423"/>
      <c r="AC115" s="423"/>
      <c r="AD115" s="424"/>
      <c r="AE115" s="424"/>
      <c r="AF115" s="305"/>
      <c r="AJ115" s="397" t="s">
        <v>565</v>
      </c>
      <c r="AK115" s="433">
        <v>42958</v>
      </c>
      <c r="AL115" s="434" t="s">
        <v>576</v>
      </c>
      <c r="AM115" s="392"/>
      <c r="AN115" s="392"/>
      <c r="AO115" s="392"/>
      <c r="AP115" s="392"/>
      <c r="AQ115" s="426">
        <v>41545</v>
      </c>
      <c r="AR115" s="425" t="s">
        <v>334</v>
      </c>
      <c r="AS115" s="427">
        <f>-PMT($AT$10,Z113,T115)</f>
        <v>0.28136458242786122</v>
      </c>
      <c r="AT115" s="425">
        <f t="shared" si="142"/>
        <v>3295.5</v>
      </c>
      <c r="AU115" s="424">
        <f t="shared" si="56"/>
        <v>85.37841979300903</v>
      </c>
      <c r="AV115" s="424">
        <f t="shared" si="65"/>
        <v>4.5213169473524504</v>
      </c>
      <c r="AW115" s="424">
        <f t="shared" si="66"/>
        <v>12.664999999999997</v>
      </c>
      <c r="AX115" s="424"/>
      <c r="AY115" s="424"/>
      <c r="AZ115" s="428"/>
      <c r="BA115" s="424"/>
      <c r="BB115" s="424"/>
      <c r="BC115" s="424"/>
    </row>
    <row r="116" spans="1:55" s="425" customFormat="1">
      <c r="A116" s="372"/>
      <c r="B116" s="372"/>
      <c r="C116" s="85"/>
      <c r="D116" s="75"/>
      <c r="E116" s="398" t="s">
        <v>551</v>
      </c>
      <c r="F116" s="372">
        <v>2050</v>
      </c>
      <c r="G116" s="372"/>
      <c r="H116" s="372"/>
      <c r="I116" s="418">
        <f t="shared" si="139"/>
        <v>0.16666666666666666</v>
      </c>
      <c r="J116" s="419"/>
      <c r="K116" s="422">
        <f t="shared" si="140"/>
        <v>1</v>
      </c>
      <c r="L116" s="418">
        <f>1/6</f>
        <v>0.16666666666666666</v>
      </c>
      <c r="M116" s="418">
        <f t="shared" si="141"/>
        <v>0.83333333333333337</v>
      </c>
      <c r="N116" s="419"/>
      <c r="O116" s="372"/>
      <c r="P116" s="394"/>
      <c r="Q116" s="394"/>
      <c r="R116" s="394"/>
      <c r="S116" s="394"/>
      <c r="T116" s="84">
        <f>0.53*Euro</f>
        <v>3.9485000000000001</v>
      </c>
      <c r="U116" s="292">
        <f t="shared" si="138"/>
        <v>1.49E-2</v>
      </c>
      <c r="V116" s="84">
        <f>1.6*Euro/3.6</f>
        <v>3.3111111111111113</v>
      </c>
      <c r="W116" s="77"/>
      <c r="X116" s="304"/>
      <c r="Y116" s="77"/>
      <c r="Z116" s="304"/>
      <c r="AA116" s="423"/>
      <c r="AB116" s="423"/>
      <c r="AC116" s="423"/>
      <c r="AD116" s="424"/>
      <c r="AE116" s="424"/>
      <c r="AF116" s="305"/>
      <c r="AJ116" s="397" t="s">
        <v>565</v>
      </c>
      <c r="AK116" s="433">
        <v>42958</v>
      </c>
      <c r="AL116" s="434" t="s">
        <v>576</v>
      </c>
      <c r="AM116" s="392"/>
      <c r="AN116" s="392"/>
      <c r="AO116" s="392"/>
      <c r="AP116" s="392"/>
      <c r="AQ116" s="426">
        <v>41545</v>
      </c>
      <c r="AR116" s="425" t="s">
        <v>334</v>
      </c>
      <c r="AS116" s="427">
        <f>-PMT($AT$10,Z113,T116)</f>
        <v>0.252751235062316</v>
      </c>
      <c r="AT116" s="425">
        <f t="shared" si="142"/>
        <v>3295.5</v>
      </c>
      <c r="AU116" s="424">
        <f t="shared" si="56"/>
        <v>76.695868627618268</v>
      </c>
      <c r="AV116" s="424">
        <f t="shared" si="65"/>
        <v>4.5213169473524504</v>
      </c>
      <c r="AW116" s="424">
        <f t="shared" si="66"/>
        <v>11.920000000000002</v>
      </c>
      <c r="AX116" s="424"/>
      <c r="AY116" s="424"/>
      <c r="AZ116" s="428"/>
      <c r="BA116" s="424"/>
      <c r="BB116" s="424"/>
      <c r="BC116" s="424"/>
    </row>
    <row r="117" spans="1:55" s="425" customFormat="1">
      <c r="A117" s="372" t="s">
        <v>452</v>
      </c>
      <c r="B117" s="83" t="s">
        <v>154</v>
      </c>
      <c r="C117" s="152" t="s">
        <v>200</v>
      </c>
      <c r="D117" s="75" t="s">
        <v>99</v>
      </c>
      <c r="E117" s="398" t="s">
        <v>551</v>
      </c>
      <c r="F117" s="372">
        <v>2015</v>
      </c>
      <c r="G117" s="372">
        <v>2015</v>
      </c>
      <c r="H117" s="83">
        <v>12</v>
      </c>
      <c r="I117" s="418">
        <f t="shared" si="139"/>
        <v>0.01</v>
      </c>
      <c r="J117" s="419"/>
      <c r="K117" s="422">
        <f>1/(L117+M117+N117)</f>
        <v>1</v>
      </c>
      <c r="L117" s="418">
        <v>0.01</v>
      </c>
      <c r="M117" s="418">
        <f>1-N117-L117</f>
        <v>0.40176470588235291</v>
      </c>
      <c r="N117" s="418">
        <f>1/1.7</f>
        <v>0.58823529411764708</v>
      </c>
      <c r="O117" s="372"/>
      <c r="P117" s="394"/>
      <c r="Q117" s="394"/>
      <c r="R117" s="394"/>
      <c r="S117" s="394"/>
      <c r="T117" s="84">
        <f>0.6*Euro</f>
        <v>4.47</v>
      </c>
      <c r="U117" s="292">
        <f t="shared" si="138"/>
        <v>1.49E-2</v>
      </c>
      <c r="V117" s="84">
        <f>0.9*Euro/3.6</f>
        <v>1.8625</v>
      </c>
      <c r="W117" s="77">
        <v>3.1536000000000002E-2</v>
      </c>
      <c r="X117" s="441">
        <v>0.98</v>
      </c>
      <c r="Y117" s="77">
        <v>1</v>
      </c>
      <c r="Z117" s="401">
        <v>25</v>
      </c>
      <c r="AA117" s="423"/>
      <c r="AB117" s="423"/>
      <c r="AC117" s="423"/>
      <c r="AD117" s="424"/>
      <c r="AE117" s="424"/>
      <c r="AF117" s="84">
        <v>0.5</v>
      </c>
      <c r="AJ117" s="397" t="s">
        <v>565</v>
      </c>
      <c r="AK117" s="433">
        <v>42958</v>
      </c>
      <c r="AL117" s="434" t="s">
        <v>576</v>
      </c>
      <c r="AM117" s="392"/>
      <c r="AN117" s="392"/>
      <c r="AO117" s="392"/>
      <c r="AP117" s="392"/>
      <c r="AQ117" s="426">
        <v>41545</v>
      </c>
      <c r="AR117" s="425" t="s">
        <v>334</v>
      </c>
      <c r="AS117" s="427">
        <f>-PMT($AT$10,Z117,T117)</f>
        <v>0.28613347365545205</v>
      </c>
      <c r="AT117" s="425" t="e">
        <f>#REF!</f>
        <v>#REF!</v>
      </c>
      <c r="AU117" s="424" t="e">
        <f t="shared" si="56"/>
        <v>#REF!</v>
      </c>
      <c r="AV117" s="424" t="e">
        <f t="shared" si="65"/>
        <v>#REF!</v>
      </c>
      <c r="AW117" s="424">
        <f t="shared" si="66"/>
        <v>6.7050000000000001</v>
      </c>
      <c r="AX117" s="424"/>
      <c r="AY117" s="424"/>
      <c r="AZ117" s="428"/>
      <c r="BA117" s="424"/>
      <c r="BB117" s="424"/>
      <c r="BC117" s="424"/>
    </row>
    <row r="118" spans="1:55" s="425" customFormat="1">
      <c r="A118" s="372" t="s">
        <v>321</v>
      </c>
      <c r="B118" s="372"/>
      <c r="C118" s="420" t="s">
        <v>199</v>
      </c>
      <c r="D118" s="75"/>
      <c r="E118" s="398" t="s">
        <v>551</v>
      </c>
      <c r="F118" s="372">
        <v>2020</v>
      </c>
      <c r="G118" s="372"/>
      <c r="H118" s="372"/>
      <c r="I118" s="418">
        <f t="shared" si="139"/>
        <v>0.01</v>
      </c>
      <c r="J118" s="419"/>
      <c r="K118" s="422">
        <f t="shared" si="140"/>
        <v>1</v>
      </c>
      <c r="L118" s="418">
        <v>0.01</v>
      </c>
      <c r="M118" s="418">
        <f t="shared" ref="M118:M120" si="143">1-N118-L118</f>
        <v>0.40520467836257312</v>
      </c>
      <c r="N118" s="418">
        <f>1/1.71</f>
        <v>0.58479532163742687</v>
      </c>
      <c r="O118" s="372"/>
      <c r="P118" s="394"/>
      <c r="Q118" s="394"/>
      <c r="R118" s="394"/>
      <c r="S118" s="394"/>
      <c r="T118" s="84">
        <f>0.56*Euro</f>
        <v>4.1720000000000006</v>
      </c>
      <c r="U118" s="292">
        <f t="shared" si="138"/>
        <v>1.49E-2</v>
      </c>
      <c r="V118" s="84">
        <f>0.28*Euro/3.6</f>
        <v>0.57944444444444454</v>
      </c>
      <c r="W118" s="77"/>
      <c r="X118" s="304"/>
      <c r="Y118" s="77"/>
      <c r="Z118" s="304"/>
      <c r="AA118" s="423"/>
      <c r="AB118" s="423"/>
      <c r="AC118" s="423"/>
      <c r="AD118" s="424"/>
      <c r="AE118" s="424">
        <v>5</v>
      </c>
      <c r="AF118" s="305"/>
      <c r="AJ118" s="397" t="s">
        <v>565</v>
      </c>
      <c r="AK118" s="433">
        <v>42958</v>
      </c>
      <c r="AL118" s="434" t="s">
        <v>576</v>
      </c>
      <c r="AM118" s="392"/>
      <c r="AN118" s="392"/>
      <c r="AO118" s="392"/>
      <c r="AP118" s="392"/>
      <c r="AQ118" s="426">
        <v>41545</v>
      </c>
      <c r="AR118" s="425" t="s">
        <v>334</v>
      </c>
      <c r="AS118" s="427">
        <f>-PMT($AT$10,Z117,T118)</f>
        <v>0.26705790874508867</v>
      </c>
      <c r="AT118" s="425" t="e">
        <f t="shared" si="142"/>
        <v>#REF!</v>
      </c>
      <c r="AU118" s="424" t="e">
        <f t="shared" si="56"/>
        <v>#REF!</v>
      </c>
      <c r="AV118" s="424" t="e">
        <f t="shared" si="65"/>
        <v>#REF!</v>
      </c>
      <c r="AW118" s="424">
        <f t="shared" si="66"/>
        <v>2.0860000000000003</v>
      </c>
      <c r="AX118" s="424"/>
      <c r="AY118" s="424"/>
      <c r="AZ118" s="428"/>
      <c r="BA118" s="424"/>
      <c r="BB118" s="424"/>
      <c r="BC118" s="424"/>
    </row>
    <row r="119" spans="1:55" s="425" customFormat="1">
      <c r="A119" s="372" t="s">
        <v>321</v>
      </c>
      <c r="B119" s="372"/>
      <c r="C119" s="85" t="s">
        <v>26</v>
      </c>
      <c r="D119" s="75"/>
      <c r="E119" s="398" t="s">
        <v>551</v>
      </c>
      <c r="F119" s="372">
        <v>2030</v>
      </c>
      <c r="G119" s="372"/>
      <c r="H119" s="372"/>
      <c r="I119" s="418">
        <f t="shared" si="139"/>
        <v>0.01</v>
      </c>
      <c r="J119" s="419"/>
      <c r="K119" s="422">
        <f t="shared" si="140"/>
        <v>1</v>
      </c>
      <c r="L119" s="418">
        <v>0.01</v>
      </c>
      <c r="M119" s="418">
        <f t="shared" si="143"/>
        <v>0.41196531791907509</v>
      </c>
      <c r="N119" s="418">
        <f>1/1.73</f>
        <v>0.5780346820809249</v>
      </c>
      <c r="O119" s="372"/>
      <c r="P119" s="394"/>
      <c r="Q119" s="394"/>
      <c r="R119" s="394"/>
      <c r="S119" s="394"/>
      <c r="T119" s="84">
        <f>0.51*Euro</f>
        <v>3.7995000000000001</v>
      </c>
      <c r="U119" s="292">
        <f t="shared" si="138"/>
        <v>1.49E-2</v>
      </c>
      <c r="V119" s="84">
        <f>2*Euro/3.6</f>
        <v>4.1388888888888893</v>
      </c>
      <c r="W119" s="77"/>
      <c r="X119" s="304"/>
      <c r="Y119" s="77"/>
      <c r="Z119" s="304"/>
      <c r="AA119" s="423"/>
      <c r="AB119" s="423"/>
      <c r="AC119" s="423"/>
      <c r="AD119" s="424"/>
      <c r="AE119" s="424"/>
      <c r="AF119" s="305"/>
      <c r="AJ119" s="397" t="s">
        <v>565</v>
      </c>
      <c r="AK119" s="433">
        <v>42958</v>
      </c>
      <c r="AL119" s="434" t="s">
        <v>576</v>
      </c>
      <c r="AM119" s="392"/>
      <c r="AN119" s="392"/>
      <c r="AO119" s="392"/>
      <c r="AP119" s="392"/>
      <c r="AQ119" s="426">
        <v>41545</v>
      </c>
      <c r="AR119" s="425" t="s">
        <v>334</v>
      </c>
      <c r="AS119" s="427">
        <f>-PMT($AT$10,Z117,T119)</f>
        <v>0.24321345260713428</v>
      </c>
      <c r="AT119" s="425" t="e">
        <f t="shared" si="142"/>
        <v>#REF!</v>
      </c>
      <c r="AU119" s="424" t="e">
        <f t="shared" si="56"/>
        <v>#REF!</v>
      </c>
      <c r="AV119" s="424" t="e">
        <f t="shared" si="65"/>
        <v>#REF!</v>
      </c>
      <c r="AW119" s="424">
        <f t="shared" si="66"/>
        <v>14.900000000000004</v>
      </c>
      <c r="AX119" s="424"/>
      <c r="AY119" s="424"/>
      <c r="AZ119" s="428"/>
      <c r="BA119" s="424"/>
      <c r="BB119" s="424"/>
      <c r="BC119" s="424"/>
    </row>
    <row r="120" spans="1:55" s="425" customFormat="1">
      <c r="A120" s="372" t="s">
        <v>321</v>
      </c>
      <c r="B120" s="372"/>
      <c r="C120" s="85"/>
      <c r="D120" s="75"/>
      <c r="E120" s="398" t="s">
        <v>551</v>
      </c>
      <c r="F120" s="372">
        <v>2050</v>
      </c>
      <c r="G120" s="372"/>
      <c r="H120" s="372"/>
      <c r="I120" s="418">
        <f t="shared" si="139"/>
        <v>0.01</v>
      </c>
      <c r="J120" s="419"/>
      <c r="K120" s="422">
        <f t="shared" si="140"/>
        <v>1</v>
      </c>
      <c r="L120" s="418">
        <v>0.01</v>
      </c>
      <c r="M120" s="418">
        <f t="shared" si="143"/>
        <v>0.41857142857142859</v>
      </c>
      <c r="N120" s="418">
        <f>1/1.75</f>
        <v>0.5714285714285714</v>
      </c>
      <c r="O120" s="372"/>
      <c r="P120" s="394"/>
      <c r="Q120" s="394"/>
      <c r="R120" s="394"/>
      <c r="S120" s="394"/>
      <c r="T120" s="84">
        <f>0.46*Euro</f>
        <v>3.427</v>
      </c>
      <c r="U120" s="292">
        <f t="shared" si="138"/>
        <v>1.49E-2</v>
      </c>
      <c r="V120" s="84">
        <f>2*Euro/3.6</f>
        <v>4.1388888888888893</v>
      </c>
      <c r="W120" s="77"/>
      <c r="X120" s="304"/>
      <c r="Y120" s="77"/>
      <c r="Z120" s="304"/>
      <c r="AA120" s="423"/>
      <c r="AB120" s="423"/>
      <c r="AC120" s="423"/>
      <c r="AD120" s="424"/>
      <c r="AE120" s="424"/>
      <c r="AF120" s="305"/>
      <c r="AJ120" s="397" t="s">
        <v>565</v>
      </c>
      <c r="AK120" s="433">
        <v>42958</v>
      </c>
      <c r="AL120" s="434" t="s">
        <v>576</v>
      </c>
      <c r="AM120" s="392"/>
      <c r="AN120" s="392"/>
      <c r="AO120" s="392"/>
      <c r="AP120" s="392"/>
      <c r="AQ120" s="426">
        <v>41545</v>
      </c>
      <c r="AR120" s="425" t="s">
        <v>334</v>
      </c>
      <c r="AS120" s="427">
        <f>-PMT($AT$10,Z117,T120)</f>
        <v>0.21936899646917993</v>
      </c>
      <c r="AT120" s="425" t="e">
        <f t="shared" si="142"/>
        <v>#REF!</v>
      </c>
      <c r="AU120" s="424" t="e">
        <f t="shared" si="56"/>
        <v>#REF!</v>
      </c>
      <c r="AV120" s="424" t="e">
        <f t="shared" si="65"/>
        <v>#REF!</v>
      </c>
      <c r="AW120" s="424">
        <f t="shared" si="66"/>
        <v>14.900000000000004</v>
      </c>
      <c r="AX120" s="424"/>
      <c r="AY120" s="424"/>
      <c r="AZ120" s="428"/>
      <c r="BA120" s="424"/>
      <c r="BB120" s="424"/>
      <c r="BC120" s="424"/>
    </row>
    <row r="121" spans="1:55">
      <c r="A121" s="74" t="s">
        <v>580</v>
      </c>
      <c r="B121" s="83" t="s">
        <v>578</v>
      </c>
      <c r="C121" s="85" t="s">
        <v>26</v>
      </c>
      <c r="D121" s="75" t="s">
        <v>99</v>
      </c>
      <c r="E121" s="398" t="s">
        <v>551</v>
      </c>
      <c r="F121" s="74">
        <v>2015</v>
      </c>
      <c r="G121" s="74">
        <v>2015</v>
      </c>
      <c r="H121" s="76">
        <v>1</v>
      </c>
      <c r="I121" s="74"/>
      <c r="J121" s="74"/>
      <c r="K121" s="76">
        <v>0.99</v>
      </c>
      <c r="L121" s="76"/>
      <c r="M121" s="76"/>
      <c r="O121" s="74"/>
      <c r="P121" s="74"/>
      <c r="Q121" s="74"/>
      <c r="R121" s="74"/>
      <c r="S121" s="74"/>
      <c r="T121" s="84">
        <f t="shared" ref="T121:T140" si="144">AN121*Euro</f>
        <v>1.1174999999999999</v>
      </c>
      <c r="U121" s="468">
        <f t="shared" ref="U121:U140" si="145">AO121*Euro/1000000</f>
        <v>8.1949999999999992E-3</v>
      </c>
      <c r="V121" s="84">
        <f t="shared" ref="V121:V140" si="146">AP121*Euro/3.6</f>
        <v>1.0347222222222223</v>
      </c>
      <c r="W121" s="78">
        <v>3.1536000000000002E-2</v>
      </c>
      <c r="X121" s="86">
        <v>0.98</v>
      </c>
      <c r="Y121" s="78">
        <v>1</v>
      </c>
      <c r="Z121" s="76">
        <v>20</v>
      </c>
      <c r="AA121" s="79"/>
      <c r="AB121" s="79"/>
      <c r="AC121" s="79"/>
      <c r="AD121" s="28"/>
      <c r="AE121" s="28"/>
      <c r="AF121" s="305">
        <v>1</v>
      </c>
      <c r="AI121" s="46"/>
      <c r="AJ121" s="397" t="s">
        <v>565</v>
      </c>
      <c r="AK121" s="433">
        <v>42958</v>
      </c>
      <c r="AL121" s="434" t="s">
        <v>576</v>
      </c>
      <c r="AM121" s="302"/>
      <c r="AN121" s="405">
        <v>0.15</v>
      </c>
      <c r="AO121" s="405">
        <v>1100</v>
      </c>
      <c r="AP121" s="405">
        <v>0.5</v>
      </c>
      <c r="AS121" s="169">
        <f>-PMT($AT$10,Z121,T121)</f>
        <v>8.2227605992242783E-2</v>
      </c>
      <c r="AT121" s="46" t="e">
        <f t="shared" si="142"/>
        <v>#REF!</v>
      </c>
      <c r="AU121" s="171" t="e">
        <f t="shared" si="56"/>
        <v>#REF!</v>
      </c>
      <c r="AV121" s="171" t="e">
        <f t="shared" si="65"/>
        <v>#REF!</v>
      </c>
      <c r="AW121" s="171">
        <f t="shared" si="66"/>
        <v>3.725000000000001</v>
      </c>
      <c r="AX121" s="171"/>
      <c r="AY121" s="171"/>
      <c r="AZ121" s="255"/>
      <c r="BA121" s="171"/>
      <c r="BB121" s="171"/>
      <c r="BC121" s="171"/>
    </row>
    <row r="122" spans="1:55">
      <c r="A122" s="74"/>
      <c r="B122" s="74"/>
      <c r="C122" s="85"/>
      <c r="D122" s="75"/>
      <c r="E122" s="398" t="s">
        <v>551</v>
      </c>
      <c r="F122" s="74">
        <v>2020</v>
      </c>
      <c r="G122" s="74"/>
      <c r="H122" s="74"/>
      <c r="I122" s="74"/>
      <c r="J122" s="74"/>
      <c r="K122" s="76">
        <v>0.99</v>
      </c>
      <c r="L122" s="76"/>
      <c r="M122" s="76"/>
      <c r="O122" s="74"/>
      <c r="P122" s="74"/>
      <c r="Q122" s="74"/>
      <c r="R122" s="74"/>
      <c r="S122" s="74"/>
      <c r="T122" s="84">
        <f t="shared" si="144"/>
        <v>1.1174999999999999</v>
      </c>
      <c r="U122" s="468">
        <f t="shared" si="145"/>
        <v>7.9714999999999994E-3</v>
      </c>
      <c r="V122" s="84">
        <f t="shared" si="146"/>
        <v>1.0347222222222223</v>
      </c>
      <c r="W122" s="78"/>
      <c r="X122" s="74"/>
      <c r="Y122" s="78"/>
      <c r="Z122" s="74"/>
      <c r="AA122" s="79"/>
      <c r="AB122" s="79"/>
      <c r="AC122" s="79"/>
      <c r="AD122" s="28"/>
      <c r="AE122" s="28"/>
      <c r="AF122" s="305"/>
      <c r="AI122" s="46"/>
      <c r="AJ122" s="397" t="s">
        <v>565</v>
      </c>
      <c r="AK122" s="433">
        <v>42958</v>
      </c>
      <c r="AL122" s="434" t="s">
        <v>576</v>
      </c>
      <c r="AM122" s="302"/>
      <c r="AN122" s="405">
        <v>0.15</v>
      </c>
      <c r="AO122" s="405">
        <v>1070</v>
      </c>
      <c r="AP122" s="405">
        <v>0.5</v>
      </c>
      <c r="AS122" s="169">
        <f>-PMT($AT$10,Z121,T122)</f>
        <v>8.2227605992242783E-2</v>
      </c>
      <c r="AT122" s="46" t="e">
        <f t="shared" si="142"/>
        <v>#REF!</v>
      </c>
      <c r="AU122" s="171" t="e">
        <f t="shared" si="56"/>
        <v>#REF!</v>
      </c>
      <c r="AV122" s="171" t="e">
        <f t="shared" si="65"/>
        <v>#REF!</v>
      </c>
      <c r="AW122" s="171">
        <f t="shared" si="66"/>
        <v>3.725000000000001</v>
      </c>
      <c r="AX122" s="171"/>
      <c r="AY122" s="171"/>
      <c r="AZ122" s="255"/>
      <c r="BA122" s="171"/>
      <c r="BB122" s="171"/>
      <c r="BC122" s="171"/>
    </row>
    <row r="123" spans="1:55">
      <c r="A123" s="74"/>
      <c r="B123" s="74"/>
      <c r="C123" s="85"/>
      <c r="D123" s="75"/>
      <c r="E123" s="398" t="s">
        <v>551</v>
      </c>
      <c r="F123" s="74">
        <v>2030</v>
      </c>
      <c r="G123" s="74"/>
      <c r="H123" s="74"/>
      <c r="I123" s="74"/>
      <c r="J123" s="74"/>
      <c r="K123" s="76">
        <v>0.99</v>
      </c>
      <c r="L123" s="76"/>
      <c r="M123" s="76"/>
      <c r="O123" s="74"/>
      <c r="P123" s="74"/>
      <c r="Q123" s="74"/>
      <c r="R123" s="74"/>
      <c r="S123" s="74"/>
      <c r="T123" s="84">
        <f t="shared" si="144"/>
        <v>1.0430000000000001</v>
      </c>
      <c r="U123" s="468">
        <f t="shared" si="145"/>
        <v>7.5989999999999999E-3</v>
      </c>
      <c r="V123" s="84">
        <f t="shared" si="146"/>
        <v>1.0347222222222223</v>
      </c>
      <c r="W123" s="78"/>
      <c r="X123" s="74"/>
      <c r="Y123" s="78"/>
      <c r="Z123" s="74"/>
      <c r="AA123" s="79"/>
      <c r="AB123" s="79"/>
      <c r="AC123" s="79"/>
      <c r="AD123" s="28"/>
      <c r="AE123" s="28"/>
      <c r="AF123" s="305"/>
      <c r="AI123" s="46"/>
      <c r="AJ123" s="397" t="s">
        <v>565</v>
      </c>
      <c r="AK123" s="433">
        <v>42958</v>
      </c>
      <c r="AL123" s="434" t="s">
        <v>576</v>
      </c>
      <c r="AM123" s="302"/>
      <c r="AN123" s="405">
        <v>0.14000000000000001</v>
      </c>
      <c r="AO123" s="405">
        <v>1020</v>
      </c>
      <c r="AP123" s="405">
        <v>0.5</v>
      </c>
      <c r="AS123" s="169">
        <f>-PMT($AT$10,Z121,T123)</f>
        <v>7.6745765592759946E-2</v>
      </c>
      <c r="AT123" s="46" t="e">
        <f t="shared" si="142"/>
        <v>#REF!</v>
      </c>
      <c r="AU123" s="171" t="e">
        <f t="shared" si="56"/>
        <v>#REF!</v>
      </c>
      <c r="AV123" s="171" t="e">
        <f t="shared" si="65"/>
        <v>#REF!</v>
      </c>
      <c r="AW123" s="171">
        <f t="shared" si="66"/>
        <v>3.725000000000001</v>
      </c>
      <c r="AX123" s="171"/>
      <c r="AY123" s="171"/>
      <c r="AZ123" s="255"/>
      <c r="BA123" s="171"/>
      <c r="BB123" s="171"/>
      <c r="BC123" s="171"/>
    </row>
    <row r="124" spans="1:55">
      <c r="A124" s="74"/>
      <c r="B124" s="74"/>
      <c r="C124" s="85"/>
      <c r="D124" s="75"/>
      <c r="E124" s="398" t="s">
        <v>551</v>
      </c>
      <c r="F124" s="74">
        <v>2050</v>
      </c>
      <c r="G124" s="74"/>
      <c r="H124" s="74"/>
      <c r="I124" s="74"/>
      <c r="J124" s="74"/>
      <c r="K124" s="76">
        <v>0.99</v>
      </c>
      <c r="L124" s="76"/>
      <c r="M124" s="76"/>
      <c r="O124" s="74"/>
      <c r="P124" s="74"/>
      <c r="Q124" s="74"/>
      <c r="R124" s="74"/>
      <c r="S124" s="74"/>
      <c r="T124" s="84">
        <f t="shared" si="144"/>
        <v>0.96850000000000003</v>
      </c>
      <c r="U124" s="468">
        <f t="shared" si="145"/>
        <v>6.8539999999999998E-3</v>
      </c>
      <c r="V124" s="84">
        <f t="shared" si="146"/>
        <v>0.82777777777777783</v>
      </c>
      <c r="W124" s="78"/>
      <c r="X124" s="74"/>
      <c r="Y124" s="78"/>
      <c r="Z124" s="74"/>
      <c r="AA124" s="79"/>
      <c r="AB124" s="79"/>
      <c r="AC124" s="79"/>
      <c r="AD124" s="28"/>
      <c r="AE124" s="28"/>
      <c r="AF124" s="305"/>
      <c r="AI124" s="46"/>
      <c r="AJ124" s="397" t="s">
        <v>565</v>
      </c>
      <c r="AK124" s="433">
        <v>42958</v>
      </c>
      <c r="AL124" s="434" t="s">
        <v>576</v>
      </c>
      <c r="AM124" s="302"/>
      <c r="AN124" s="405">
        <v>0.13</v>
      </c>
      <c r="AO124" s="405">
        <v>920</v>
      </c>
      <c r="AP124" s="405">
        <v>0.4</v>
      </c>
      <c r="AS124" s="169">
        <f>-PMT($AT$10,Z121,T124)</f>
        <v>7.1263925193277081E-2</v>
      </c>
      <c r="AT124" s="46" t="e">
        <f t="shared" si="142"/>
        <v>#REF!</v>
      </c>
      <c r="AU124" s="171" t="e">
        <f t="shared" si="56"/>
        <v>#REF!</v>
      </c>
      <c r="AV124" s="171" t="e">
        <f t="shared" si="65"/>
        <v>#REF!</v>
      </c>
      <c r="AW124" s="171">
        <f t="shared" si="66"/>
        <v>2.9800000000000004</v>
      </c>
      <c r="AX124" s="171"/>
      <c r="AY124" s="171"/>
      <c r="AZ124" s="255"/>
      <c r="BA124" s="171"/>
      <c r="BB124" s="171"/>
      <c r="BC124" s="171"/>
    </row>
    <row r="125" spans="1:55">
      <c r="A125" s="372" t="s">
        <v>579</v>
      </c>
      <c r="B125" s="83" t="s">
        <v>577</v>
      </c>
      <c r="C125" s="85" t="s">
        <v>26</v>
      </c>
      <c r="D125" s="75" t="s">
        <v>99</v>
      </c>
      <c r="E125" s="398" t="s">
        <v>551</v>
      </c>
      <c r="F125" s="372">
        <v>2015</v>
      </c>
      <c r="G125" s="372">
        <v>2015</v>
      </c>
      <c r="H125" s="304">
        <v>10</v>
      </c>
      <c r="I125" s="372"/>
      <c r="J125" s="372"/>
      <c r="K125" s="304">
        <v>0.99</v>
      </c>
      <c r="L125" s="304"/>
      <c r="M125" s="304"/>
      <c r="O125" s="372"/>
      <c r="P125" s="372"/>
      <c r="Q125" s="372"/>
      <c r="R125" s="372"/>
      <c r="S125" s="372"/>
      <c r="T125" s="84">
        <f t="shared" si="144"/>
        <v>0.52150000000000007</v>
      </c>
      <c r="U125" s="468">
        <f t="shared" si="145"/>
        <v>8.1949999999999992E-3</v>
      </c>
      <c r="V125" s="84">
        <f t="shared" si="146"/>
        <v>1.0347222222222223</v>
      </c>
      <c r="W125" s="78">
        <v>3.1536000000000002E-2</v>
      </c>
      <c r="X125" s="86">
        <v>0.98</v>
      </c>
      <c r="Y125" s="78">
        <v>1</v>
      </c>
      <c r="Z125" s="304">
        <v>20</v>
      </c>
      <c r="AA125" s="305"/>
      <c r="AB125" s="305"/>
      <c r="AC125" s="305"/>
      <c r="AD125" s="28"/>
      <c r="AE125" s="28"/>
      <c r="AF125" s="305">
        <v>1</v>
      </c>
      <c r="AI125" s="46"/>
      <c r="AJ125" s="397" t="s">
        <v>565</v>
      </c>
      <c r="AK125" s="433">
        <v>42958</v>
      </c>
      <c r="AL125" s="434" t="s">
        <v>576</v>
      </c>
      <c r="AM125" s="302"/>
      <c r="AN125" s="405">
        <v>7.0000000000000007E-2</v>
      </c>
      <c r="AO125" s="405">
        <v>1100</v>
      </c>
      <c r="AP125" s="405">
        <v>0.5</v>
      </c>
      <c r="AS125" s="169">
        <f>-PMT($AT$10,Z125,T125)</f>
        <v>3.8372882796379973E-2</v>
      </c>
      <c r="AT125" s="46" t="e">
        <f t="shared" si="142"/>
        <v>#REF!</v>
      </c>
      <c r="AU125" s="171" t="e">
        <f t="shared" ref="AU125:AU128" si="147">AS125/AT125*(1000000)</f>
        <v>#REF!</v>
      </c>
      <c r="AV125" s="171" t="e">
        <f t="shared" ref="AV125:AV128" si="148">U125/AT125*(1000000)</f>
        <v>#REF!</v>
      </c>
      <c r="AW125" s="171">
        <f t="shared" ref="AW125:AW128" si="149">V125*1000*3.6/1000</f>
        <v>3.725000000000001</v>
      </c>
      <c r="AX125" s="171"/>
      <c r="AY125" s="171"/>
      <c r="AZ125" s="255"/>
      <c r="BA125" s="171"/>
      <c r="BB125" s="171"/>
      <c r="BC125" s="171"/>
    </row>
    <row r="126" spans="1:55">
      <c r="A126" s="372"/>
      <c r="B126" s="372"/>
      <c r="C126" s="85"/>
      <c r="D126" s="75"/>
      <c r="E126" s="398" t="s">
        <v>551</v>
      </c>
      <c r="F126" s="372">
        <v>2020</v>
      </c>
      <c r="G126" s="372"/>
      <c r="H126" s="372"/>
      <c r="I126" s="372"/>
      <c r="J126" s="372"/>
      <c r="K126" s="304">
        <v>0.99</v>
      </c>
      <c r="L126" s="304"/>
      <c r="M126" s="304"/>
      <c r="O126" s="372"/>
      <c r="P126" s="372"/>
      <c r="Q126" s="372"/>
      <c r="R126" s="372"/>
      <c r="S126" s="372"/>
      <c r="T126" s="84">
        <f t="shared" si="144"/>
        <v>0.52150000000000007</v>
      </c>
      <c r="U126" s="468">
        <f t="shared" si="145"/>
        <v>7.9714999999999994E-3</v>
      </c>
      <c r="V126" s="84">
        <f t="shared" si="146"/>
        <v>1.0347222222222223</v>
      </c>
      <c r="W126" s="78"/>
      <c r="X126" s="372"/>
      <c r="Y126" s="78"/>
      <c r="Z126" s="372"/>
      <c r="AA126" s="305"/>
      <c r="AB126" s="305"/>
      <c r="AC126" s="305"/>
      <c r="AD126" s="28"/>
      <c r="AE126" s="28"/>
      <c r="AF126" s="305"/>
      <c r="AI126" s="46"/>
      <c r="AJ126" s="397" t="s">
        <v>565</v>
      </c>
      <c r="AK126" s="433">
        <v>42958</v>
      </c>
      <c r="AL126" s="434" t="s">
        <v>576</v>
      </c>
      <c r="AM126" s="302"/>
      <c r="AN126" s="405">
        <v>7.0000000000000007E-2</v>
      </c>
      <c r="AO126" s="405">
        <v>1070</v>
      </c>
      <c r="AP126" s="405">
        <v>0.5</v>
      </c>
      <c r="AS126" s="169">
        <f>-PMT($AT$10,Z125,T126)</f>
        <v>3.8372882796379973E-2</v>
      </c>
      <c r="AT126" s="46" t="e">
        <f t="shared" si="142"/>
        <v>#REF!</v>
      </c>
      <c r="AU126" s="171" t="e">
        <f t="shared" si="147"/>
        <v>#REF!</v>
      </c>
      <c r="AV126" s="171" t="e">
        <f t="shared" si="148"/>
        <v>#REF!</v>
      </c>
      <c r="AW126" s="171">
        <f t="shared" si="149"/>
        <v>3.725000000000001</v>
      </c>
      <c r="AX126" s="171"/>
      <c r="AY126" s="171"/>
      <c r="AZ126" s="255"/>
      <c r="BA126" s="171"/>
      <c r="BB126" s="171"/>
      <c r="BC126" s="171"/>
    </row>
    <row r="127" spans="1:55">
      <c r="A127" s="372"/>
      <c r="B127" s="372"/>
      <c r="C127" s="85"/>
      <c r="D127" s="75"/>
      <c r="E127" s="398" t="s">
        <v>551</v>
      </c>
      <c r="F127" s="372">
        <v>2030</v>
      </c>
      <c r="G127" s="372"/>
      <c r="H127" s="372"/>
      <c r="I127" s="372"/>
      <c r="J127" s="372"/>
      <c r="K127" s="304">
        <v>0.99</v>
      </c>
      <c r="L127" s="304"/>
      <c r="M127" s="304"/>
      <c r="O127" s="372"/>
      <c r="P127" s="372"/>
      <c r="Q127" s="372"/>
      <c r="R127" s="372"/>
      <c r="S127" s="372"/>
      <c r="T127" s="84">
        <f t="shared" si="144"/>
        <v>0.44700000000000001</v>
      </c>
      <c r="U127" s="468">
        <f t="shared" si="145"/>
        <v>7.5989999999999999E-3</v>
      </c>
      <c r="V127" s="84">
        <f t="shared" si="146"/>
        <v>1.0347222222222223</v>
      </c>
      <c r="W127" s="78"/>
      <c r="X127" s="372"/>
      <c r="Y127" s="78"/>
      <c r="Z127" s="372"/>
      <c r="AA127" s="305"/>
      <c r="AB127" s="305"/>
      <c r="AC127" s="305"/>
      <c r="AD127" s="28"/>
      <c r="AE127" s="28"/>
      <c r="AF127" s="305"/>
      <c r="AI127" s="46"/>
      <c r="AJ127" s="397" t="s">
        <v>565</v>
      </c>
      <c r="AK127" s="433">
        <v>42958</v>
      </c>
      <c r="AL127" s="434" t="s">
        <v>576</v>
      </c>
      <c r="AM127" s="302"/>
      <c r="AN127" s="405">
        <v>0.06</v>
      </c>
      <c r="AO127" s="405">
        <v>1020</v>
      </c>
      <c r="AP127" s="405">
        <v>0.5</v>
      </c>
      <c r="AS127" s="169">
        <f>-PMT($AT$10,Z125,T127)</f>
        <v>3.2891042396897115E-2</v>
      </c>
      <c r="AT127" s="46" t="e">
        <f t="shared" si="142"/>
        <v>#REF!</v>
      </c>
      <c r="AU127" s="171" t="e">
        <f t="shared" si="147"/>
        <v>#REF!</v>
      </c>
      <c r="AV127" s="171" t="e">
        <f t="shared" si="148"/>
        <v>#REF!</v>
      </c>
      <c r="AW127" s="171">
        <f t="shared" si="149"/>
        <v>3.725000000000001</v>
      </c>
      <c r="AX127" s="171"/>
      <c r="AY127" s="171"/>
      <c r="AZ127" s="255"/>
      <c r="BA127" s="171"/>
      <c r="BB127" s="171"/>
      <c r="BC127" s="171"/>
    </row>
    <row r="128" spans="1:55">
      <c r="A128" s="372"/>
      <c r="B128" s="372"/>
      <c r="C128" s="85"/>
      <c r="D128" s="75"/>
      <c r="E128" s="398" t="s">
        <v>551</v>
      </c>
      <c r="F128" s="372">
        <v>2050</v>
      </c>
      <c r="G128" s="372"/>
      <c r="H128" s="372"/>
      <c r="I128" s="372"/>
      <c r="J128" s="372"/>
      <c r="K128" s="304">
        <v>0.99</v>
      </c>
      <c r="L128" s="304"/>
      <c r="M128" s="304"/>
      <c r="O128" s="372"/>
      <c r="P128" s="372"/>
      <c r="Q128" s="372"/>
      <c r="R128" s="372"/>
      <c r="S128" s="372"/>
      <c r="T128" s="84">
        <f t="shared" si="144"/>
        <v>0.44700000000000001</v>
      </c>
      <c r="U128" s="468">
        <f t="shared" si="145"/>
        <v>6.8539999999999998E-3</v>
      </c>
      <c r="V128" s="84">
        <f t="shared" si="146"/>
        <v>0.82777777777777783</v>
      </c>
      <c r="W128" s="78"/>
      <c r="X128" s="372"/>
      <c r="Y128" s="78"/>
      <c r="Z128" s="372"/>
      <c r="AA128" s="305"/>
      <c r="AB128" s="305"/>
      <c r="AC128" s="305"/>
      <c r="AD128" s="28"/>
      <c r="AE128" s="28"/>
      <c r="AF128" s="305"/>
      <c r="AI128" s="46"/>
      <c r="AJ128" s="397" t="s">
        <v>565</v>
      </c>
      <c r="AK128" s="433">
        <v>42958</v>
      </c>
      <c r="AL128" s="434" t="s">
        <v>576</v>
      </c>
      <c r="AM128" s="302"/>
      <c r="AN128" s="405">
        <v>0.06</v>
      </c>
      <c r="AO128" s="405">
        <v>920</v>
      </c>
      <c r="AP128" s="405">
        <v>0.4</v>
      </c>
      <c r="AS128" s="169">
        <f>-PMT($AT$10,Z125,T128)</f>
        <v>3.2891042396897115E-2</v>
      </c>
      <c r="AT128" s="46" t="e">
        <f t="shared" si="142"/>
        <v>#REF!</v>
      </c>
      <c r="AU128" s="171" t="e">
        <f t="shared" si="147"/>
        <v>#REF!</v>
      </c>
      <c r="AV128" s="171" t="e">
        <f t="shared" si="148"/>
        <v>#REF!</v>
      </c>
      <c r="AW128" s="171">
        <f t="shared" si="149"/>
        <v>2.9800000000000004</v>
      </c>
      <c r="AX128" s="171"/>
      <c r="AY128" s="171"/>
      <c r="AZ128" s="255"/>
      <c r="BA128" s="171"/>
      <c r="BB128" s="171"/>
      <c r="BC128" s="171"/>
    </row>
    <row r="129" spans="1:61">
      <c r="A129" s="74" t="s">
        <v>453</v>
      </c>
      <c r="B129" s="74" t="s">
        <v>156</v>
      </c>
      <c r="C129" s="85" t="s">
        <v>381</v>
      </c>
      <c r="D129" s="75" t="s">
        <v>99</v>
      </c>
      <c r="E129" s="398" t="s">
        <v>551</v>
      </c>
      <c r="F129" s="74">
        <v>2015</v>
      </c>
      <c r="G129" s="74">
        <v>2015</v>
      </c>
      <c r="H129" s="76">
        <v>7</v>
      </c>
      <c r="I129" s="74">
        <v>2.5000000000000001E-2</v>
      </c>
      <c r="J129" s="74"/>
      <c r="K129" s="87">
        <v>1.173</v>
      </c>
      <c r="L129" s="87"/>
      <c r="M129" s="87"/>
      <c r="O129" s="74"/>
      <c r="P129" s="74"/>
      <c r="Q129" s="74"/>
      <c r="R129" s="74"/>
      <c r="S129" s="74"/>
      <c r="T129" s="84">
        <f t="shared" si="144"/>
        <v>8.1950000000000003</v>
      </c>
      <c r="U129" s="468">
        <f t="shared" si="145"/>
        <v>0.25330000000000003</v>
      </c>
      <c r="V129" s="84">
        <f t="shared" si="146"/>
        <v>2.276388888888889</v>
      </c>
      <c r="W129" s="78">
        <v>3.1536000000000002E-2</v>
      </c>
      <c r="X129" s="76">
        <v>0.95</v>
      </c>
      <c r="Y129" s="78">
        <v>1</v>
      </c>
      <c r="Z129" s="76">
        <v>20</v>
      </c>
      <c r="AA129" s="79">
        <v>90</v>
      </c>
      <c r="AB129" s="76">
        <v>16</v>
      </c>
      <c r="AC129" s="76">
        <v>0.8</v>
      </c>
      <c r="AD129" s="30">
        <v>1.9</v>
      </c>
      <c r="AE129" s="30"/>
      <c r="AF129" s="305">
        <v>1</v>
      </c>
      <c r="AI129" s="46"/>
      <c r="AJ129" s="397" t="s">
        <v>586</v>
      </c>
      <c r="AK129" s="404">
        <v>42958</v>
      </c>
      <c r="AL129" s="405" t="s">
        <v>576</v>
      </c>
      <c r="AM129" s="302" t="s">
        <v>591</v>
      </c>
      <c r="AN129" s="302">
        <v>1.1000000000000001</v>
      </c>
      <c r="AO129" s="302">
        <v>34000</v>
      </c>
      <c r="AP129" s="302">
        <v>1.1000000000000001</v>
      </c>
      <c r="AS129" s="169">
        <f>-PMT($AT$10,Z129,T129)</f>
        <v>0.60300244394311375</v>
      </c>
      <c r="AT129" s="46" t="e">
        <f>AT124</f>
        <v>#REF!</v>
      </c>
      <c r="AU129" s="171" t="e">
        <f t="shared" si="56"/>
        <v>#REF!</v>
      </c>
      <c r="AV129" s="171" t="e">
        <f t="shared" si="65"/>
        <v>#REF!</v>
      </c>
      <c r="AW129" s="171">
        <f t="shared" si="66"/>
        <v>8.1950000000000021</v>
      </c>
      <c r="AX129" s="171"/>
      <c r="AY129" s="171"/>
      <c r="AZ129" s="255"/>
      <c r="BA129" s="171"/>
      <c r="BB129" s="171"/>
      <c r="BC129" s="171"/>
    </row>
    <row r="130" spans="1:61">
      <c r="A130" s="74"/>
      <c r="B130" s="74"/>
      <c r="C130" s="85"/>
      <c r="D130" s="75"/>
      <c r="E130" s="398" t="s">
        <v>551</v>
      </c>
      <c r="F130" s="74">
        <v>2020</v>
      </c>
      <c r="G130" s="74"/>
      <c r="H130" s="74"/>
      <c r="I130" s="74"/>
      <c r="J130" s="74"/>
      <c r="K130" s="87">
        <v>1.173</v>
      </c>
      <c r="L130" s="87"/>
      <c r="M130" s="87"/>
      <c r="O130" s="74"/>
      <c r="P130" s="74"/>
      <c r="Q130" s="74"/>
      <c r="R130" s="74"/>
      <c r="S130" s="74"/>
      <c r="T130" s="84">
        <f t="shared" si="144"/>
        <v>7.45</v>
      </c>
      <c r="U130" s="468">
        <f t="shared" si="145"/>
        <v>0.24585000000000001</v>
      </c>
      <c r="V130" s="84">
        <f t="shared" si="146"/>
        <v>2.276388888888889</v>
      </c>
      <c r="W130" s="78"/>
      <c r="X130" s="74"/>
      <c r="Y130" s="78"/>
      <c r="Z130" s="74"/>
      <c r="AA130" s="79">
        <v>60</v>
      </c>
      <c r="AB130" s="76">
        <v>11</v>
      </c>
      <c r="AC130" s="76">
        <v>20.3</v>
      </c>
      <c r="AD130" s="30">
        <v>1.9</v>
      </c>
      <c r="AE130" s="30"/>
      <c r="AF130" s="305"/>
      <c r="AI130" s="46"/>
      <c r="AJ130" s="397" t="s">
        <v>586</v>
      </c>
      <c r="AK130" s="404">
        <v>42958</v>
      </c>
      <c r="AL130" s="405" t="s">
        <v>576</v>
      </c>
      <c r="AM130" s="302" t="s">
        <v>591</v>
      </c>
      <c r="AN130" s="302">
        <v>1</v>
      </c>
      <c r="AO130" s="302">
        <v>33000</v>
      </c>
      <c r="AP130" s="302">
        <v>1.1000000000000001</v>
      </c>
      <c r="AS130" s="169">
        <f>-PMT($AT$10,Z129,T130)</f>
        <v>0.54818403994828524</v>
      </c>
      <c r="AT130" s="46" t="e">
        <f t="shared" si="142"/>
        <v>#REF!</v>
      </c>
      <c r="AU130" s="171" t="e">
        <f t="shared" si="56"/>
        <v>#REF!</v>
      </c>
      <c r="AV130" s="171" t="e">
        <f t="shared" si="65"/>
        <v>#REF!</v>
      </c>
      <c r="AW130" s="171">
        <f t="shared" si="66"/>
        <v>8.1950000000000021</v>
      </c>
      <c r="AX130" s="171"/>
      <c r="AY130" s="171"/>
      <c r="AZ130" s="255"/>
      <c r="BA130" s="171"/>
      <c r="BB130" s="171"/>
      <c r="BC130" s="171"/>
    </row>
    <row r="131" spans="1:61">
      <c r="A131" s="74"/>
      <c r="B131" s="74"/>
      <c r="C131" s="85"/>
      <c r="D131" s="75"/>
      <c r="E131" s="398" t="s">
        <v>551</v>
      </c>
      <c r="F131" s="74">
        <v>2030</v>
      </c>
      <c r="G131" s="74"/>
      <c r="H131" s="74"/>
      <c r="I131" s="74"/>
      <c r="J131" s="74"/>
      <c r="K131" s="87">
        <v>1.173</v>
      </c>
      <c r="L131" s="87"/>
      <c r="M131" s="87"/>
      <c r="O131" s="74"/>
      <c r="P131" s="74"/>
      <c r="Q131" s="74"/>
      <c r="R131" s="74"/>
      <c r="S131" s="74"/>
      <c r="T131" s="84">
        <f t="shared" si="144"/>
        <v>7.45</v>
      </c>
      <c r="U131" s="468">
        <f t="shared" si="145"/>
        <v>0.2384</v>
      </c>
      <c r="V131" s="84">
        <f t="shared" si="146"/>
        <v>2.276388888888889</v>
      </c>
      <c r="W131" s="78"/>
      <c r="X131" s="74"/>
      <c r="Y131" s="78"/>
      <c r="Z131" s="74"/>
      <c r="AA131" s="79">
        <v>50</v>
      </c>
      <c r="AB131" s="76">
        <v>8</v>
      </c>
      <c r="AC131" s="76">
        <v>0.3</v>
      </c>
      <c r="AD131" s="30">
        <v>1.9</v>
      </c>
      <c r="AE131" s="30"/>
      <c r="AF131" s="305"/>
      <c r="AI131" s="46"/>
      <c r="AJ131" s="397" t="s">
        <v>586</v>
      </c>
      <c r="AK131" s="404">
        <v>42958</v>
      </c>
      <c r="AL131" s="405" t="s">
        <v>576</v>
      </c>
      <c r="AM131" s="302" t="s">
        <v>591</v>
      </c>
      <c r="AN131" s="302">
        <v>1</v>
      </c>
      <c r="AO131" s="302">
        <v>32000</v>
      </c>
      <c r="AP131" s="302">
        <v>1.1000000000000001</v>
      </c>
      <c r="AS131" s="169">
        <f>-PMT($AT$10,Z129,T131)</f>
        <v>0.54818403994828524</v>
      </c>
      <c r="AT131" s="46" t="e">
        <f t="shared" si="142"/>
        <v>#REF!</v>
      </c>
      <c r="AU131" s="171" t="e">
        <f t="shared" si="56"/>
        <v>#REF!</v>
      </c>
      <c r="AV131" s="171" t="e">
        <f t="shared" si="65"/>
        <v>#REF!</v>
      </c>
      <c r="AW131" s="171">
        <f t="shared" si="66"/>
        <v>8.1950000000000021</v>
      </c>
      <c r="AX131" s="171"/>
      <c r="AY131" s="171"/>
      <c r="AZ131" s="255"/>
      <c r="BA131" s="171"/>
      <c r="BB131" s="171"/>
      <c r="BC131" s="171"/>
    </row>
    <row r="132" spans="1:61">
      <c r="A132" s="74"/>
      <c r="B132" s="74"/>
      <c r="C132" s="85"/>
      <c r="D132" s="75"/>
      <c r="E132" s="398" t="s">
        <v>551</v>
      </c>
      <c r="F132" s="74">
        <v>2050</v>
      </c>
      <c r="G132" s="74"/>
      <c r="H132" s="74"/>
      <c r="I132" s="74"/>
      <c r="J132" s="74"/>
      <c r="K132" s="87">
        <v>1.173</v>
      </c>
      <c r="L132" s="87"/>
      <c r="M132" s="87"/>
      <c r="O132" s="74"/>
      <c r="P132" s="74"/>
      <c r="Q132" s="74"/>
      <c r="R132" s="74"/>
      <c r="S132" s="74"/>
      <c r="T132" s="84">
        <f t="shared" si="144"/>
        <v>6.7050000000000001</v>
      </c>
      <c r="U132" s="468">
        <f t="shared" si="145"/>
        <v>0.2235</v>
      </c>
      <c r="V132" s="84">
        <f t="shared" si="146"/>
        <v>2.276388888888889</v>
      </c>
      <c r="W132" s="78"/>
      <c r="X132" s="74"/>
      <c r="Y132" s="78"/>
      <c r="Z132" s="74"/>
      <c r="AA132" s="79">
        <v>40</v>
      </c>
      <c r="AB132" s="76">
        <v>4</v>
      </c>
      <c r="AC132" s="76">
        <v>0.3</v>
      </c>
      <c r="AD132" s="30">
        <v>1.9</v>
      </c>
      <c r="AE132" s="30"/>
      <c r="AF132" s="305"/>
      <c r="AI132" s="46"/>
      <c r="AJ132" s="397" t="s">
        <v>586</v>
      </c>
      <c r="AK132" s="404">
        <v>42958</v>
      </c>
      <c r="AL132" s="405" t="s">
        <v>576</v>
      </c>
      <c r="AM132" s="302" t="s">
        <v>591</v>
      </c>
      <c r="AN132" s="302">
        <v>0.9</v>
      </c>
      <c r="AO132" s="302">
        <v>30000</v>
      </c>
      <c r="AP132" s="302">
        <v>1.1000000000000001</v>
      </c>
      <c r="AS132" s="169">
        <f>-PMT($AT$10,Z129,T132)</f>
        <v>0.49336563595345673</v>
      </c>
      <c r="AT132" s="46" t="e">
        <f t="shared" si="142"/>
        <v>#REF!</v>
      </c>
      <c r="AU132" s="171" t="e">
        <f t="shared" si="56"/>
        <v>#REF!</v>
      </c>
      <c r="AV132" s="171" t="e">
        <f t="shared" si="65"/>
        <v>#REF!</v>
      </c>
      <c r="AW132" s="171">
        <f t="shared" si="66"/>
        <v>8.1950000000000021</v>
      </c>
      <c r="AX132" s="171"/>
      <c r="AY132" s="171"/>
      <c r="AZ132" s="255"/>
      <c r="BA132" s="171"/>
      <c r="BB132" s="171"/>
      <c r="BC132" s="171"/>
    </row>
    <row r="133" spans="1:61">
      <c r="A133" s="74" t="s">
        <v>454</v>
      </c>
      <c r="B133" s="74" t="s">
        <v>157</v>
      </c>
      <c r="C133" s="85" t="s">
        <v>35</v>
      </c>
      <c r="D133" s="75" t="s">
        <v>99</v>
      </c>
      <c r="E133" s="398" t="s">
        <v>551</v>
      </c>
      <c r="F133" s="74">
        <v>2015</v>
      </c>
      <c r="G133" s="74">
        <v>2015</v>
      </c>
      <c r="H133" s="76">
        <v>6.3</v>
      </c>
      <c r="I133" s="74">
        <v>2.3E-2</v>
      </c>
      <c r="J133" s="74"/>
      <c r="K133" s="87">
        <v>1.044</v>
      </c>
      <c r="L133" s="87"/>
      <c r="M133" s="87"/>
      <c r="O133" s="74"/>
      <c r="P133" s="74"/>
      <c r="Q133" s="74"/>
      <c r="R133" s="74"/>
      <c r="S133" s="74"/>
      <c r="T133" s="84">
        <f t="shared" si="144"/>
        <v>5.2149999999999999</v>
      </c>
      <c r="U133" s="468">
        <f t="shared" si="145"/>
        <v>0.29799999999999999</v>
      </c>
      <c r="V133" s="84">
        <f t="shared" si="146"/>
        <v>2.0694444444444446</v>
      </c>
      <c r="W133" s="78">
        <v>3.1536000000000002E-2</v>
      </c>
      <c r="X133" s="76">
        <v>0.95</v>
      </c>
      <c r="Y133" s="78">
        <v>1</v>
      </c>
      <c r="Z133" s="76">
        <v>25</v>
      </c>
      <c r="AA133" s="79">
        <v>90</v>
      </c>
      <c r="AB133" s="79">
        <v>16</v>
      </c>
      <c r="AC133" s="79">
        <v>4</v>
      </c>
      <c r="AD133" s="305">
        <v>49</v>
      </c>
      <c r="AE133" s="28"/>
      <c r="AF133" s="305">
        <v>1</v>
      </c>
      <c r="AI133" s="46"/>
      <c r="AJ133" s="397" t="s">
        <v>586</v>
      </c>
      <c r="AK133" s="404">
        <v>42958</v>
      </c>
      <c r="AL133" s="405" t="s">
        <v>576</v>
      </c>
      <c r="AM133" s="302" t="s">
        <v>591</v>
      </c>
      <c r="AN133" s="302">
        <v>0.7</v>
      </c>
      <c r="AO133" s="302">
        <v>40000</v>
      </c>
      <c r="AP133" s="302">
        <v>1</v>
      </c>
      <c r="AS133" s="169">
        <f>-PMT($AT$10,Z133,T133)</f>
        <v>0.33382238593136071</v>
      </c>
      <c r="AT133" s="46" t="e">
        <f t="shared" si="142"/>
        <v>#REF!</v>
      </c>
      <c r="AU133" s="171" t="e">
        <f t="shared" si="56"/>
        <v>#REF!</v>
      </c>
      <c r="AV133" s="171" t="e">
        <f t="shared" si="65"/>
        <v>#REF!</v>
      </c>
      <c r="AW133" s="171">
        <f t="shared" si="66"/>
        <v>7.450000000000002</v>
      </c>
      <c r="AX133" s="171"/>
      <c r="AY133" s="171"/>
      <c r="AZ133" s="255"/>
      <c r="BA133" s="171"/>
      <c r="BB133" s="171"/>
      <c r="BC133" s="171"/>
    </row>
    <row r="134" spans="1:61">
      <c r="A134" s="74"/>
      <c r="B134" s="74"/>
      <c r="C134" s="85"/>
      <c r="D134" s="75"/>
      <c r="E134" s="398" t="s">
        <v>551</v>
      </c>
      <c r="F134" s="74">
        <v>2020</v>
      </c>
      <c r="G134" s="74"/>
      <c r="H134" s="74"/>
      <c r="I134" s="74"/>
      <c r="J134" s="74"/>
      <c r="K134" s="87">
        <v>1.08</v>
      </c>
      <c r="L134" s="87"/>
      <c r="M134" s="87"/>
      <c r="O134" s="74"/>
      <c r="P134" s="74"/>
      <c r="Q134" s="74"/>
      <c r="R134" s="74"/>
      <c r="S134" s="74"/>
      <c r="T134" s="84">
        <f t="shared" si="144"/>
        <v>5.2149999999999999</v>
      </c>
      <c r="U134" s="468">
        <f t="shared" si="145"/>
        <v>0.29054999999999997</v>
      </c>
      <c r="V134" s="84">
        <f t="shared" si="146"/>
        <v>2.0694444444444446</v>
      </c>
      <c r="W134" s="78"/>
      <c r="X134" s="74"/>
      <c r="Y134" s="78"/>
      <c r="Z134" s="74"/>
      <c r="AA134" s="79">
        <v>70</v>
      </c>
      <c r="AB134" s="79">
        <v>11</v>
      </c>
      <c r="AC134" s="79">
        <v>3</v>
      </c>
      <c r="AD134" s="305">
        <v>49</v>
      </c>
      <c r="AE134" s="28"/>
      <c r="AF134" s="305"/>
      <c r="AI134" s="46"/>
      <c r="AJ134" s="397" t="s">
        <v>586</v>
      </c>
      <c r="AK134" s="404">
        <v>42958</v>
      </c>
      <c r="AL134" s="405" t="s">
        <v>576</v>
      </c>
      <c r="AM134" s="302" t="s">
        <v>591</v>
      </c>
      <c r="AN134" s="302">
        <v>0.7</v>
      </c>
      <c r="AO134" s="302">
        <v>39000</v>
      </c>
      <c r="AP134" s="302">
        <v>1</v>
      </c>
      <c r="AS134" s="169">
        <f>-PMT($AT$10,Z133,T134)</f>
        <v>0.33382238593136071</v>
      </c>
      <c r="AT134" s="46" t="e">
        <f t="shared" si="142"/>
        <v>#REF!</v>
      </c>
      <c r="AU134" s="171" t="e">
        <f t="shared" si="56"/>
        <v>#REF!</v>
      </c>
      <c r="AV134" s="171" t="e">
        <f t="shared" si="65"/>
        <v>#REF!</v>
      </c>
      <c r="AW134" s="171">
        <f t="shared" si="66"/>
        <v>7.450000000000002</v>
      </c>
      <c r="AX134" s="171"/>
      <c r="AY134" s="171"/>
      <c r="AZ134" s="255"/>
      <c r="BA134" s="171"/>
      <c r="BB134" s="171"/>
      <c r="BC134" s="171"/>
    </row>
    <row r="135" spans="1:61">
      <c r="A135" s="74"/>
      <c r="B135" s="74"/>
      <c r="C135" s="85"/>
      <c r="D135" s="75"/>
      <c r="E135" s="398" t="s">
        <v>551</v>
      </c>
      <c r="F135" s="74">
        <v>2030</v>
      </c>
      <c r="G135" s="74"/>
      <c r="H135" s="74"/>
      <c r="I135" s="74"/>
      <c r="J135" s="74"/>
      <c r="K135" s="87">
        <v>1.08</v>
      </c>
      <c r="L135" s="87"/>
      <c r="M135" s="87"/>
      <c r="O135" s="74"/>
      <c r="P135" s="74"/>
      <c r="Q135" s="74"/>
      <c r="R135" s="74"/>
      <c r="S135" s="74"/>
      <c r="T135" s="84">
        <f t="shared" si="144"/>
        <v>4.47</v>
      </c>
      <c r="U135" s="468">
        <f t="shared" si="145"/>
        <v>0.26819999999999999</v>
      </c>
      <c r="V135" s="84">
        <f t="shared" si="146"/>
        <v>2.0694444444444446</v>
      </c>
      <c r="W135" s="78"/>
      <c r="X135" s="74"/>
      <c r="Y135" s="78"/>
      <c r="Z135" s="74"/>
      <c r="AA135" s="79">
        <v>50</v>
      </c>
      <c r="AB135" s="79">
        <v>8</v>
      </c>
      <c r="AC135" s="79">
        <v>2</v>
      </c>
      <c r="AD135" s="305">
        <v>49</v>
      </c>
      <c r="AE135" s="28"/>
      <c r="AF135" s="305"/>
      <c r="AI135" s="46"/>
      <c r="AJ135" s="397" t="s">
        <v>586</v>
      </c>
      <c r="AK135" s="404">
        <v>42958</v>
      </c>
      <c r="AL135" s="405" t="s">
        <v>576</v>
      </c>
      <c r="AM135" s="302" t="s">
        <v>591</v>
      </c>
      <c r="AN135" s="302">
        <v>0.6</v>
      </c>
      <c r="AO135" s="302">
        <v>36000</v>
      </c>
      <c r="AP135" s="302">
        <v>1</v>
      </c>
      <c r="AS135" s="169">
        <f>-PMT($AT$10,Z133,T135)</f>
        <v>0.28613347365545205</v>
      </c>
      <c r="AT135" s="46" t="e">
        <f t="shared" si="142"/>
        <v>#REF!</v>
      </c>
      <c r="AU135" s="171" t="e">
        <f t="shared" si="56"/>
        <v>#REF!</v>
      </c>
      <c r="AV135" s="171" t="e">
        <f t="shared" si="65"/>
        <v>#REF!</v>
      </c>
      <c r="AW135" s="171">
        <f t="shared" si="66"/>
        <v>7.450000000000002</v>
      </c>
      <c r="AX135" s="171"/>
      <c r="AY135" s="171"/>
      <c r="AZ135" s="255"/>
      <c r="BA135" s="171"/>
      <c r="BB135" s="171"/>
      <c r="BC135" s="171"/>
    </row>
    <row r="136" spans="1:61">
      <c r="A136" s="74"/>
      <c r="B136" s="74"/>
      <c r="C136" s="85"/>
      <c r="D136" s="75"/>
      <c r="E136" s="398" t="s">
        <v>551</v>
      </c>
      <c r="F136" s="74">
        <v>2050</v>
      </c>
      <c r="G136" s="74"/>
      <c r="H136" s="74"/>
      <c r="I136" s="74"/>
      <c r="J136" s="74"/>
      <c r="K136" s="87">
        <v>1.08</v>
      </c>
      <c r="L136" s="87"/>
      <c r="M136" s="87"/>
      <c r="O136" s="74"/>
      <c r="P136" s="74"/>
      <c r="Q136" s="74"/>
      <c r="R136" s="74"/>
      <c r="S136" s="74"/>
      <c r="T136" s="84">
        <f t="shared" si="144"/>
        <v>4.47</v>
      </c>
      <c r="U136" s="468">
        <f t="shared" si="145"/>
        <v>0.2384</v>
      </c>
      <c r="V136" s="84">
        <f t="shared" si="146"/>
        <v>2.0694444444444446</v>
      </c>
      <c r="W136" s="78"/>
      <c r="X136" s="74"/>
      <c r="Y136" s="78"/>
      <c r="Z136" s="74"/>
      <c r="AA136" s="79">
        <v>40</v>
      </c>
      <c r="AB136" s="79">
        <v>4</v>
      </c>
      <c r="AC136" s="79">
        <v>1</v>
      </c>
      <c r="AD136" s="305">
        <v>49</v>
      </c>
      <c r="AE136" s="28"/>
      <c r="AF136" s="305"/>
      <c r="AI136" s="46"/>
      <c r="AJ136" s="397" t="s">
        <v>586</v>
      </c>
      <c r="AK136" s="404">
        <v>42958</v>
      </c>
      <c r="AL136" s="405" t="s">
        <v>576</v>
      </c>
      <c r="AM136" s="302" t="s">
        <v>591</v>
      </c>
      <c r="AN136" s="302">
        <v>0.6</v>
      </c>
      <c r="AO136" s="302">
        <v>32000</v>
      </c>
      <c r="AP136" s="302">
        <v>1</v>
      </c>
      <c r="AS136" s="169">
        <f>-PMT($AT$10,Z133,T136)</f>
        <v>0.28613347365545205</v>
      </c>
      <c r="AT136" s="46" t="e">
        <f t="shared" si="142"/>
        <v>#REF!</v>
      </c>
      <c r="AU136" s="171" t="e">
        <f t="shared" si="56"/>
        <v>#REF!</v>
      </c>
      <c r="AV136" s="171" t="e">
        <f t="shared" si="65"/>
        <v>#REF!</v>
      </c>
      <c r="AW136" s="171">
        <f t="shared" si="66"/>
        <v>7.450000000000002</v>
      </c>
      <c r="AX136" s="171"/>
      <c r="AY136" s="171"/>
      <c r="AZ136" s="255"/>
      <c r="BA136" s="171"/>
      <c r="BB136" s="171"/>
      <c r="BC136" s="171"/>
    </row>
    <row r="137" spans="1:61" s="355" customFormat="1">
      <c r="A137" s="303" t="s">
        <v>552</v>
      </c>
      <c r="B137" s="303" t="s">
        <v>550</v>
      </c>
      <c r="C137" s="85" t="s">
        <v>380</v>
      </c>
      <c r="D137" s="75" t="s">
        <v>99</v>
      </c>
      <c r="E137" s="398" t="s">
        <v>551</v>
      </c>
      <c r="F137" s="303">
        <v>2015</v>
      </c>
      <c r="G137" s="356">
        <v>2015</v>
      </c>
      <c r="H137" s="356">
        <v>6.1</v>
      </c>
      <c r="I137" s="356">
        <v>2.1999999999999999E-2</v>
      </c>
      <c r="J137" s="356"/>
      <c r="K137" s="359">
        <v>1.024</v>
      </c>
      <c r="L137" s="359"/>
      <c r="M137" s="359"/>
      <c r="O137" s="356"/>
      <c r="P137" s="356"/>
      <c r="Q137" s="356"/>
      <c r="R137" s="356"/>
      <c r="S137" s="356"/>
      <c r="T137" s="84">
        <f t="shared" si="144"/>
        <v>7.45</v>
      </c>
      <c r="U137" s="468">
        <f t="shared" si="145"/>
        <v>0.25330000000000003</v>
      </c>
      <c r="V137" s="84">
        <f t="shared" si="146"/>
        <v>2.0694444444444446</v>
      </c>
      <c r="W137" s="78">
        <v>3.1536000000000002E-2</v>
      </c>
      <c r="X137" s="356">
        <v>0.95</v>
      </c>
      <c r="Y137" s="361">
        <v>1</v>
      </c>
      <c r="Z137" s="356">
        <v>25</v>
      </c>
      <c r="AA137" s="360">
        <v>90</v>
      </c>
      <c r="AB137" s="360"/>
      <c r="AC137" s="360">
        <v>1</v>
      </c>
      <c r="AD137" s="362">
        <v>11</v>
      </c>
      <c r="AE137" s="362"/>
      <c r="AF137" s="360">
        <v>1</v>
      </c>
      <c r="AJ137" s="397" t="s">
        <v>586</v>
      </c>
      <c r="AK137" s="404">
        <v>42958</v>
      </c>
      <c r="AL137" s="405" t="s">
        <v>576</v>
      </c>
      <c r="AM137" s="302" t="s">
        <v>591</v>
      </c>
      <c r="AN137" s="363">
        <v>1</v>
      </c>
      <c r="AO137" s="363">
        <v>34000</v>
      </c>
      <c r="AP137" s="363">
        <v>1</v>
      </c>
      <c r="AS137" s="364"/>
      <c r="AU137" s="365"/>
      <c r="AV137" s="365"/>
      <c r="AW137" s="365"/>
      <c r="AX137" s="365"/>
      <c r="AY137" s="365"/>
      <c r="AZ137" s="366"/>
      <c r="BA137" s="365"/>
      <c r="BB137" s="365"/>
      <c r="BC137" s="365"/>
    </row>
    <row r="138" spans="1:61" s="355" customFormat="1">
      <c r="A138" s="356"/>
      <c r="B138" s="356"/>
      <c r="C138" s="357"/>
      <c r="D138" s="358"/>
      <c r="E138" s="398" t="s">
        <v>551</v>
      </c>
      <c r="F138" s="303">
        <v>2020</v>
      </c>
      <c r="G138" s="356"/>
      <c r="H138" s="356"/>
      <c r="I138" s="356"/>
      <c r="J138" s="356"/>
      <c r="K138" s="359">
        <v>1.024</v>
      </c>
      <c r="L138" s="359"/>
      <c r="M138" s="359"/>
      <c r="O138" s="356"/>
      <c r="P138" s="356"/>
      <c r="Q138" s="356"/>
      <c r="R138" s="356"/>
      <c r="S138" s="356"/>
      <c r="T138" s="84">
        <f t="shared" si="144"/>
        <v>7.45</v>
      </c>
      <c r="U138" s="468">
        <f t="shared" si="145"/>
        <v>0.24585000000000001</v>
      </c>
      <c r="V138" s="84">
        <f t="shared" si="146"/>
        <v>2.0694444444444446</v>
      </c>
      <c r="W138" s="361"/>
      <c r="X138" s="356"/>
      <c r="Y138" s="361"/>
      <c r="Z138" s="356"/>
      <c r="AA138" s="360">
        <v>50</v>
      </c>
      <c r="AB138" s="360"/>
      <c r="AC138" s="360">
        <v>1</v>
      </c>
      <c r="AD138" s="362">
        <v>11</v>
      </c>
      <c r="AE138" s="362"/>
      <c r="AF138" s="360"/>
      <c r="AJ138" s="397" t="s">
        <v>586</v>
      </c>
      <c r="AK138" s="404">
        <v>42958</v>
      </c>
      <c r="AL138" s="405" t="s">
        <v>576</v>
      </c>
      <c r="AM138" s="302" t="s">
        <v>591</v>
      </c>
      <c r="AN138" s="363">
        <v>1</v>
      </c>
      <c r="AO138" s="363">
        <v>33000</v>
      </c>
      <c r="AP138" s="363">
        <v>1</v>
      </c>
      <c r="AS138" s="364"/>
      <c r="AU138" s="365"/>
      <c r="AV138" s="365"/>
      <c r="AW138" s="365"/>
      <c r="AX138" s="365"/>
      <c r="AY138" s="365"/>
      <c r="AZ138" s="366"/>
      <c r="BA138" s="365"/>
      <c r="BB138" s="365"/>
      <c r="BC138" s="365"/>
    </row>
    <row r="139" spans="1:61" s="355" customFormat="1">
      <c r="A139" s="356"/>
      <c r="B139" s="356"/>
      <c r="C139" s="357"/>
      <c r="D139" s="358"/>
      <c r="E139" s="398" t="s">
        <v>551</v>
      </c>
      <c r="F139" s="303">
        <v>2030</v>
      </c>
      <c r="G139" s="356"/>
      <c r="H139" s="356"/>
      <c r="I139" s="356"/>
      <c r="J139" s="356"/>
      <c r="K139" s="359">
        <v>1.024</v>
      </c>
      <c r="L139" s="359"/>
      <c r="M139" s="359"/>
      <c r="O139" s="356"/>
      <c r="P139" s="356"/>
      <c r="Q139" s="356"/>
      <c r="R139" s="356"/>
      <c r="S139" s="356"/>
      <c r="T139" s="84">
        <f t="shared" si="144"/>
        <v>6.7050000000000001</v>
      </c>
      <c r="U139" s="468">
        <f t="shared" si="145"/>
        <v>0.23094999999999999</v>
      </c>
      <c r="V139" s="84">
        <f t="shared" si="146"/>
        <v>2.0694444444444446</v>
      </c>
      <c r="W139" s="361"/>
      <c r="X139" s="356"/>
      <c r="Y139" s="361"/>
      <c r="Z139" s="356"/>
      <c r="AA139" s="360">
        <v>40</v>
      </c>
      <c r="AB139" s="360"/>
      <c r="AC139" s="360">
        <v>1</v>
      </c>
      <c r="AD139" s="362">
        <v>11</v>
      </c>
      <c r="AE139" s="362"/>
      <c r="AF139" s="360"/>
      <c r="AJ139" s="397" t="s">
        <v>586</v>
      </c>
      <c r="AK139" s="404">
        <v>42958</v>
      </c>
      <c r="AL139" s="405" t="s">
        <v>576</v>
      </c>
      <c r="AM139" s="302" t="s">
        <v>591</v>
      </c>
      <c r="AN139" s="363">
        <v>0.9</v>
      </c>
      <c r="AO139" s="363">
        <v>31000</v>
      </c>
      <c r="AP139" s="363">
        <v>1</v>
      </c>
      <c r="AS139" s="364"/>
      <c r="AU139" s="365"/>
      <c r="AV139" s="365"/>
      <c r="AW139" s="365"/>
      <c r="AX139" s="365"/>
      <c r="AY139" s="365"/>
      <c r="AZ139" s="366"/>
      <c r="BA139" s="365"/>
      <c r="BB139" s="365"/>
      <c r="BC139" s="365"/>
    </row>
    <row r="140" spans="1:61" s="355" customFormat="1">
      <c r="A140" s="356"/>
      <c r="B140" s="356"/>
      <c r="C140" s="357"/>
      <c r="D140" s="358"/>
      <c r="E140" s="398" t="s">
        <v>551</v>
      </c>
      <c r="F140" s="303">
        <v>2050</v>
      </c>
      <c r="G140" s="356"/>
      <c r="H140" s="356"/>
      <c r="I140" s="356"/>
      <c r="J140" s="356"/>
      <c r="K140" s="359">
        <v>1.024</v>
      </c>
      <c r="L140" s="359"/>
      <c r="M140" s="359"/>
      <c r="O140" s="356"/>
      <c r="P140" s="356"/>
      <c r="Q140" s="356"/>
      <c r="R140" s="356"/>
      <c r="S140" s="356"/>
      <c r="T140" s="84">
        <f t="shared" si="144"/>
        <v>5.9600000000000009</v>
      </c>
      <c r="U140" s="468">
        <f t="shared" si="145"/>
        <v>0.20860000000000001</v>
      </c>
      <c r="V140" s="84">
        <f t="shared" si="146"/>
        <v>2.0694444444444446</v>
      </c>
      <c r="W140" s="361"/>
      <c r="X140" s="356"/>
      <c r="Y140" s="361"/>
      <c r="Z140" s="356"/>
      <c r="AA140" s="360">
        <v>40</v>
      </c>
      <c r="AB140" s="360"/>
      <c r="AC140" s="360">
        <v>0</v>
      </c>
      <c r="AD140" s="362">
        <v>11</v>
      </c>
      <c r="AE140" s="362"/>
      <c r="AF140" s="360"/>
      <c r="AJ140" s="397" t="s">
        <v>586</v>
      </c>
      <c r="AK140" s="404">
        <v>42958</v>
      </c>
      <c r="AL140" s="405" t="s">
        <v>576</v>
      </c>
      <c r="AM140" s="302" t="s">
        <v>591</v>
      </c>
      <c r="AN140" s="363">
        <v>0.8</v>
      </c>
      <c r="AO140" s="363">
        <v>28000</v>
      </c>
      <c r="AP140" s="363">
        <v>1</v>
      </c>
      <c r="AS140" s="364"/>
      <c r="AU140" s="365"/>
      <c r="AV140" s="365"/>
      <c r="AW140" s="365"/>
      <c r="AX140" s="365"/>
      <c r="AY140" s="365"/>
      <c r="AZ140" s="366"/>
      <c r="BA140" s="365"/>
      <c r="BB140" s="365"/>
      <c r="BC140" s="365"/>
    </row>
    <row r="141" spans="1:61">
      <c r="A141" s="173" t="s">
        <v>455</v>
      </c>
      <c r="B141" s="173" t="s">
        <v>158</v>
      </c>
      <c r="C141" s="174" t="s">
        <v>430</v>
      </c>
      <c r="D141" s="175" t="s">
        <v>99</v>
      </c>
      <c r="E141" s="398" t="s">
        <v>551</v>
      </c>
      <c r="F141" s="173">
        <v>2015</v>
      </c>
      <c r="G141" s="173">
        <v>2015</v>
      </c>
      <c r="H141" s="176">
        <v>0.5</v>
      </c>
      <c r="I141" s="173"/>
      <c r="J141" s="173"/>
      <c r="K141" s="429">
        <v>1.05</v>
      </c>
      <c r="L141" s="177"/>
      <c r="M141" s="177"/>
      <c r="N141" s="178"/>
      <c r="O141" s="173"/>
      <c r="P141" s="173"/>
      <c r="Q141" s="173"/>
      <c r="R141" s="173"/>
      <c r="S141" s="173"/>
      <c r="T141" s="84">
        <f>0.06*Euro</f>
        <v>0.44700000000000001</v>
      </c>
      <c r="U141" s="158">
        <f>2000*Euro/1000000</f>
        <v>1.49E-2</v>
      </c>
      <c r="V141" s="84">
        <f>1.1*Euro/3.6</f>
        <v>2.276388888888889</v>
      </c>
      <c r="W141" s="179">
        <v>3.1536000000000002E-2</v>
      </c>
      <c r="X141" s="180">
        <v>0.98499999999999999</v>
      </c>
      <c r="Y141" s="179">
        <v>1</v>
      </c>
      <c r="Z141" s="401">
        <v>25</v>
      </c>
      <c r="AA141" s="401">
        <v>10</v>
      </c>
      <c r="AB141" s="84">
        <v>3</v>
      </c>
      <c r="AC141" s="172">
        <v>1</v>
      </c>
      <c r="AD141" s="412">
        <v>0.3</v>
      </c>
      <c r="AE141" s="181"/>
      <c r="AF141" s="84">
        <v>0.5</v>
      </c>
      <c r="AH141" s="178"/>
      <c r="AI141" s="178"/>
      <c r="AJ141" s="397" t="s">
        <v>565</v>
      </c>
      <c r="AK141" s="433">
        <v>42817</v>
      </c>
      <c r="AL141" s="434" t="s">
        <v>566</v>
      </c>
      <c r="AM141" s="182"/>
      <c r="AN141" s="182"/>
      <c r="AO141" s="182"/>
      <c r="AP141" s="182"/>
      <c r="AQ141" s="178"/>
      <c r="AR141" s="178"/>
      <c r="AS141" s="183">
        <f>-PMT($AT$10,Z141,T141)</f>
        <v>2.8613347365545209E-2</v>
      </c>
      <c r="AT141" s="46" t="e">
        <f>AT136</f>
        <v>#REF!</v>
      </c>
      <c r="AU141" s="184" t="e">
        <f t="shared" si="56"/>
        <v>#REF!</v>
      </c>
      <c r="AV141" s="184" t="e">
        <f t="shared" si="65"/>
        <v>#REF!</v>
      </c>
      <c r="AW141" s="184">
        <f t="shared" si="66"/>
        <v>8.1950000000000021</v>
      </c>
      <c r="AX141" s="184"/>
      <c r="AY141" s="171">
        <f>1/K141</f>
        <v>0.95238095238095233</v>
      </c>
      <c r="AZ141" s="318">
        <v>1.2</v>
      </c>
      <c r="BA141" s="171">
        <f>IF(O141=0,0,(O141-K141)/AZ141)</f>
        <v>0</v>
      </c>
      <c r="BB141" s="171">
        <f>AX141*(AY141-BA141)</f>
        <v>0</v>
      </c>
      <c r="BC141" s="258" t="e">
        <f>AU141+AV141+AW141+BB141</f>
        <v>#REF!</v>
      </c>
      <c r="BD141" s="178"/>
      <c r="BE141" s="178"/>
      <c r="BF141" s="178" t="s">
        <v>343</v>
      </c>
      <c r="BG141" s="178"/>
      <c r="BH141" s="178"/>
      <c r="BI141" s="178"/>
    </row>
    <row r="142" spans="1:61">
      <c r="A142" s="173"/>
      <c r="B142" s="173"/>
      <c r="C142" s="174"/>
      <c r="D142" s="175"/>
      <c r="E142" s="398" t="s">
        <v>551</v>
      </c>
      <c r="F142" s="173">
        <v>2020</v>
      </c>
      <c r="G142" s="173"/>
      <c r="H142" s="173"/>
      <c r="I142" s="173"/>
      <c r="J142" s="173"/>
      <c r="K142" s="429">
        <v>1.05</v>
      </c>
      <c r="L142" s="177"/>
      <c r="M142" s="177"/>
      <c r="N142" s="178"/>
      <c r="O142" s="173"/>
      <c r="P142" s="173"/>
      <c r="Q142" s="173"/>
      <c r="R142" s="173"/>
      <c r="S142" s="173"/>
      <c r="T142" s="84">
        <f>0.06*Euro</f>
        <v>0.44700000000000001</v>
      </c>
      <c r="U142" s="158">
        <f>1950*Euro/1000000</f>
        <v>1.45275E-2</v>
      </c>
      <c r="V142" s="84">
        <f>1.1*Euro/3.6</f>
        <v>2.276388888888889</v>
      </c>
      <c r="W142" s="179"/>
      <c r="X142" s="173"/>
      <c r="Y142" s="179"/>
      <c r="Z142" s="173"/>
      <c r="AA142" s="401">
        <v>9</v>
      </c>
      <c r="AB142" s="84">
        <v>3</v>
      </c>
      <c r="AC142" s="172">
        <v>1</v>
      </c>
      <c r="AD142" s="412">
        <v>0.3</v>
      </c>
      <c r="AE142" s="181"/>
      <c r="AF142" s="305"/>
      <c r="AH142" s="178"/>
      <c r="AI142" s="178"/>
      <c r="AJ142" s="397" t="s">
        <v>565</v>
      </c>
      <c r="AK142" s="433">
        <v>42817</v>
      </c>
      <c r="AL142" s="434" t="s">
        <v>566</v>
      </c>
      <c r="AM142" s="182"/>
      <c r="AN142" s="182"/>
      <c r="AO142" s="182"/>
      <c r="AP142" s="182"/>
      <c r="AQ142" s="178"/>
      <c r="AR142" s="178"/>
      <c r="AS142" s="183">
        <f>-PMT($AT$10,Z141,T142)</f>
        <v>2.8613347365545209E-2</v>
      </c>
      <c r="AT142" s="46" t="e">
        <f t="shared" si="142"/>
        <v>#REF!</v>
      </c>
      <c r="AU142" s="184" t="e">
        <f t="shared" si="56"/>
        <v>#REF!</v>
      </c>
      <c r="AV142" s="184" t="e">
        <f t="shared" si="65"/>
        <v>#REF!</v>
      </c>
      <c r="AW142" s="184">
        <f t="shared" si="66"/>
        <v>8.1950000000000021</v>
      </c>
      <c r="AX142" s="184"/>
      <c r="AY142" s="171">
        <f t="shared" ref="AY142:AY144" si="150">1/K142</f>
        <v>0.95238095238095233</v>
      </c>
      <c r="AZ142" s="318">
        <v>1.2</v>
      </c>
      <c r="BA142" s="171">
        <f t="shared" ref="BA142:BA144" si="151">IF(O142=0,0,(O142-K142)/AZ142)</f>
        <v>0</v>
      </c>
      <c r="BB142" s="171">
        <f t="shared" ref="BB142:BB144" si="152">AX142*(AY142-BA142)</f>
        <v>0</v>
      </c>
      <c r="BC142" s="258" t="e">
        <f t="shared" ref="BC142:BC144" si="153">AU142+AV142+AW142+BB142</f>
        <v>#REF!</v>
      </c>
      <c r="BD142" s="178"/>
      <c r="BE142" s="178"/>
      <c r="BF142" s="178"/>
      <c r="BG142" s="178"/>
      <c r="BH142" s="178"/>
      <c r="BI142" s="178"/>
    </row>
    <row r="143" spans="1:61">
      <c r="A143" s="173"/>
      <c r="B143" s="173"/>
      <c r="C143" s="174"/>
      <c r="D143" s="175"/>
      <c r="E143" s="398" t="s">
        <v>551</v>
      </c>
      <c r="F143" s="173">
        <v>2030</v>
      </c>
      <c r="G143" s="173"/>
      <c r="H143" s="173"/>
      <c r="I143" s="173"/>
      <c r="J143" s="173"/>
      <c r="K143" s="429">
        <v>1.06</v>
      </c>
      <c r="L143" s="177"/>
      <c r="M143" s="177"/>
      <c r="N143" s="178"/>
      <c r="O143" s="173"/>
      <c r="P143" s="173"/>
      <c r="Q143" s="173"/>
      <c r="R143" s="173"/>
      <c r="S143" s="173"/>
      <c r="T143" s="84">
        <f>0.05*Euro</f>
        <v>0.37250000000000005</v>
      </c>
      <c r="U143" s="158">
        <f>1900*Euro/1000000</f>
        <v>1.4154999999999999E-2</v>
      </c>
      <c r="V143" s="84">
        <f>1*Euro/3.6</f>
        <v>2.0694444444444446</v>
      </c>
      <c r="W143" s="179"/>
      <c r="X143" s="173"/>
      <c r="Y143" s="179"/>
      <c r="Z143" s="173"/>
      <c r="AA143" s="401">
        <v>7</v>
      </c>
      <c r="AB143" s="84">
        <v>2</v>
      </c>
      <c r="AC143" s="172">
        <v>1</v>
      </c>
      <c r="AD143" s="412">
        <v>0.3</v>
      </c>
      <c r="AE143" s="181"/>
      <c r="AF143" s="305"/>
      <c r="AH143" s="178"/>
      <c r="AI143" s="178"/>
      <c r="AJ143" s="397" t="s">
        <v>565</v>
      </c>
      <c r="AK143" s="433">
        <v>42817</v>
      </c>
      <c r="AL143" s="434" t="s">
        <v>566</v>
      </c>
      <c r="AM143" s="182"/>
      <c r="AN143" s="182"/>
      <c r="AO143" s="182"/>
      <c r="AP143" s="182"/>
      <c r="AQ143" s="178"/>
      <c r="AR143" s="178"/>
      <c r="AS143" s="183">
        <f>-PMT($AT$10,Z141,T143)</f>
        <v>2.3844456137954346E-2</v>
      </c>
      <c r="AT143" s="46" t="e">
        <f t="shared" si="142"/>
        <v>#REF!</v>
      </c>
      <c r="AU143" s="184" t="e">
        <f t="shared" si="56"/>
        <v>#REF!</v>
      </c>
      <c r="AV143" s="184" t="e">
        <f t="shared" si="65"/>
        <v>#REF!</v>
      </c>
      <c r="AW143" s="184">
        <f t="shared" si="66"/>
        <v>7.450000000000002</v>
      </c>
      <c r="AX143" s="184"/>
      <c r="AY143" s="171">
        <f t="shared" si="150"/>
        <v>0.94339622641509424</v>
      </c>
      <c r="AZ143" s="318">
        <v>1.2</v>
      </c>
      <c r="BA143" s="171">
        <f t="shared" si="151"/>
        <v>0</v>
      </c>
      <c r="BB143" s="171">
        <f t="shared" si="152"/>
        <v>0</v>
      </c>
      <c r="BC143" s="258" t="e">
        <f t="shared" si="153"/>
        <v>#REF!</v>
      </c>
      <c r="BD143" s="178"/>
      <c r="BE143" s="178"/>
      <c r="BF143" s="178"/>
      <c r="BG143" s="178"/>
      <c r="BH143" s="178"/>
      <c r="BI143" s="178"/>
    </row>
    <row r="144" spans="1:61">
      <c r="A144" s="173"/>
      <c r="B144" s="173"/>
      <c r="C144" s="174"/>
      <c r="D144" s="175"/>
      <c r="E144" s="398" t="s">
        <v>551</v>
      </c>
      <c r="F144" s="173">
        <v>2050</v>
      </c>
      <c r="G144" s="173"/>
      <c r="H144" s="173"/>
      <c r="I144" s="173"/>
      <c r="J144" s="173"/>
      <c r="K144" s="429">
        <v>1.06</v>
      </c>
      <c r="L144" s="177"/>
      <c r="M144" s="177"/>
      <c r="N144" s="178"/>
      <c r="O144" s="173"/>
      <c r="P144" s="173"/>
      <c r="Q144" s="173"/>
      <c r="R144" s="173"/>
      <c r="S144" s="173"/>
      <c r="T144" s="84">
        <f>0.05*Euro</f>
        <v>0.37250000000000005</v>
      </c>
      <c r="U144" s="158">
        <f>1700*Euro/1000000</f>
        <v>1.2664999999999999E-2</v>
      </c>
      <c r="V144" s="84">
        <f>1.1*Euro/3.6</f>
        <v>2.276388888888889</v>
      </c>
      <c r="W144" s="179"/>
      <c r="X144" s="173"/>
      <c r="Y144" s="179"/>
      <c r="Z144" s="173"/>
      <c r="AA144" s="401">
        <v>6</v>
      </c>
      <c r="AB144" s="84">
        <v>2</v>
      </c>
      <c r="AC144" s="172">
        <v>1</v>
      </c>
      <c r="AD144" s="412">
        <v>0.3</v>
      </c>
      <c r="AE144" s="181"/>
      <c r="AF144" s="305"/>
      <c r="AH144" s="178"/>
      <c r="AI144" s="178"/>
      <c r="AJ144" s="397" t="s">
        <v>565</v>
      </c>
      <c r="AK144" s="433">
        <v>42817</v>
      </c>
      <c r="AL144" s="434" t="s">
        <v>566</v>
      </c>
      <c r="AM144" s="182"/>
      <c r="AN144" s="182"/>
      <c r="AO144" s="182"/>
      <c r="AP144" s="182"/>
      <c r="AQ144" s="178"/>
      <c r="AR144" s="178"/>
      <c r="AS144" s="183">
        <f>-PMT($AT$10,Z141,T144)</f>
        <v>2.3844456137954346E-2</v>
      </c>
      <c r="AT144" s="46" t="e">
        <f t="shared" si="142"/>
        <v>#REF!</v>
      </c>
      <c r="AU144" s="184" t="e">
        <f t="shared" si="56"/>
        <v>#REF!</v>
      </c>
      <c r="AV144" s="184" t="e">
        <f t="shared" si="65"/>
        <v>#REF!</v>
      </c>
      <c r="AW144" s="184">
        <f t="shared" si="66"/>
        <v>8.1950000000000021</v>
      </c>
      <c r="AX144" s="184"/>
      <c r="AY144" s="171">
        <f t="shared" si="150"/>
        <v>0.94339622641509424</v>
      </c>
      <c r="AZ144" s="318">
        <v>1.2</v>
      </c>
      <c r="BA144" s="171">
        <f t="shared" si="151"/>
        <v>0</v>
      </c>
      <c r="BB144" s="171">
        <f t="shared" si="152"/>
        <v>0</v>
      </c>
      <c r="BC144" s="258" t="e">
        <f t="shared" si="153"/>
        <v>#REF!</v>
      </c>
      <c r="BD144" s="178"/>
      <c r="BE144" s="178"/>
      <c r="BF144" s="178"/>
      <c r="BG144" s="178"/>
      <c r="BH144" s="178"/>
      <c r="BI144" s="178"/>
    </row>
    <row r="145" spans="1:55">
      <c r="A145" s="74" t="s">
        <v>456</v>
      </c>
      <c r="B145" s="74" t="s">
        <v>159</v>
      </c>
      <c r="C145" s="85" t="s">
        <v>171</v>
      </c>
      <c r="D145" s="75" t="s">
        <v>99</v>
      </c>
      <c r="E145" s="319" t="s">
        <v>429</v>
      </c>
      <c r="F145" s="74">
        <v>2015</v>
      </c>
      <c r="G145" s="74">
        <v>2015</v>
      </c>
      <c r="H145" s="76">
        <v>0</v>
      </c>
      <c r="I145" s="399">
        <f>8/176</f>
        <v>4.5454545454545456E-2</v>
      </c>
      <c r="J145" s="413">
        <f>76/176</f>
        <v>0.43181818181818182</v>
      </c>
      <c r="K145" s="413">
        <f>1/(L145+M145+N145)</f>
        <v>0.95652173913043481</v>
      </c>
      <c r="L145" s="399">
        <f>8/176</f>
        <v>4.5454545454545456E-2</v>
      </c>
      <c r="M145" s="413">
        <f>100/176</f>
        <v>0.56818181818181823</v>
      </c>
      <c r="N145" s="413">
        <f>76/176</f>
        <v>0.43181818181818182</v>
      </c>
      <c r="O145" s="74"/>
      <c r="P145" s="74"/>
      <c r="Q145" s="74"/>
      <c r="R145" s="74"/>
      <c r="S145" s="74"/>
      <c r="T145" s="79">
        <f>1.8*Euro*100/176</f>
        <v>7.6193181818181817</v>
      </c>
      <c r="U145" s="291">
        <f>47000*Euro/1000000*(100/176)</f>
        <v>0.19894886363636366</v>
      </c>
      <c r="V145" s="79">
        <v>0</v>
      </c>
      <c r="W145" s="78">
        <v>3.1536000000000002E-2</v>
      </c>
      <c r="X145" s="86">
        <v>0.98</v>
      </c>
      <c r="Y145" s="78">
        <v>1</v>
      </c>
      <c r="Z145" s="76">
        <v>25</v>
      </c>
      <c r="AA145" s="79"/>
      <c r="AB145" s="79"/>
      <c r="AC145" s="79"/>
      <c r="AD145" s="28"/>
      <c r="AE145" s="28"/>
      <c r="AF145" s="305">
        <v>4</v>
      </c>
      <c r="AI145" s="46"/>
      <c r="AJ145" s="393" t="s">
        <v>208</v>
      </c>
      <c r="AK145" s="60"/>
      <c r="AL145" s="47"/>
      <c r="AM145" s="302"/>
      <c r="AN145" s="302"/>
      <c r="AO145" s="302"/>
      <c r="AP145" s="302"/>
      <c r="AQ145" s="159">
        <v>41545</v>
      </c>
      <c r="AR145" s="46" t="s">
        <v>334</v>
      </c>
      <c r="AS145" s="169">
        <f>-PMT($AT$10,Z145,T145)</f>
        <v>0.48772751191270242</v>
      </c>
      <c r="AT145" s="46" t="e">
        <f t="shared" si="142"/>
        <v>#REF!</v>
      </c>
      <c r="AU145" s="171" t="e">
        <f t="shared" si="56"/>
        <v>#REF!</v>
      </c>
      <c r="AV145" s="171" t="e">
        <f t="shared" si="65"/>
        <v>#REF!</v>
      </c>
      <c r="AW145" s="171">
        <f t="shared" si="66"/>
        <v>0</v>
      </c>
      <c r="AX145" s="171"/>
      <c r="AY145" s="171"/>
      <c r="AZ145" s="255"/>
      <c r="BA145" s="171"/>
      <c r="BB145" s="171"/>
      <c r="BC145" s="171"/>
    </row>
    <row r="146" spans="1:55">
      <c r="A146" s="74"/>
      <c r="B146" s="74"/>
      <c r="C146" s="85" t="s">
        <v>26</v>
      </c>
      <c r="D146" s="75"/>
      <c r="E146" s="319" t="s">
        <v>429</v>
      </c>
      <c r="F146" s="74">
        <v>2020</v>
      </c>
      <c r="G146" s="74"/>
      <c r="H146" s="76"/>
      <c r="I146" s="399">
        <f t="shared" ref="I146:I148" si="154">8/176</f>
        <v>4.5454545454545456E-2</v>
      </c>
      <c r="J146" s="413">
        <f t="shared" ref="J146:J148" si="155">76/176</f>
        <v>0.43181818181818182</v>
      </c>
      <c r="K146" s="413">
        <f t="shared" ref="K146:K155" si="156">1/(L146+M146+N146)</f>
        <v>0.95652173913043481</v>
      </c>
      <c r="L146" s="399">
        <f t="shared" ref="L146:L148" si="157">8/176</f>
        <v>4.5454545454545456E-2</v>
      </c>
      <c r="M146" s="413">
        <f t="shared" ref="M146:M148" si="158">100/176</f>
        <v>0.56818181818181823</v>
      </c>
      <c r="N146" s="413">
        <f t="shared" ref="N146:N148" si="159">76/176</f>
        <v>0.43181818181818182</v>
      </c>
      <c r="O146" s="74"/>
      <c r="P146" s="74"/>
      <c r="Q146" s="74"/>
      <c r="R146" s="74"/>
      <c r="S146" s="74"/>
      <c r="T146" s="414">
        <f>1.8*Euro*100/176*(1650/1800)</f>
        <v>6.984375</v>
      </c>
      <c r="U146" s="415">
        <f>47000*Euro/1000000*(100/176)*(41.25/45)</f>
        <v>0.18236979166666667</v>
      </c>
      <c r="V146" s="79">
        <v>0</v>
      </c>
      <c r="W146" s="78"/>
      <c r="X146" s="74"/>
      <c r="Y146" s="78"/>
      <c r="Z146" s="74"/>
      <c r="AA146" s="79"/>
      <c r="AB146" s="79"/>
      <c r="AC146" s="79"/>
      <c r="AD146" s="28"/>
      <c r="AE146" s="28">
        <v>5</v>
      </c>
      <c r="AF146" s="305"/>
      <c r="AI146" s="46"/>
      <c r="AJ146" s="393" t="s">
        <v>208</v>
      </c>
      <c r="AK146" s="60"/>
      <c r="AL146" s="47"/>
      <c r="AM146" s="302"/>
      <c r="AN146" s="302"/>
      <c r="AO146" s="302"/>
      <c r="AP146" s="302"/>
      <c r="AQ146" s="159">
        <v>41545</v>
      </c>
      <c r="AR146" s="46" t="s">
        <v>334</v>
      </c>
      <c r="AS146" s="169">
        <f>-PMT($AT$10,Z145,T146)</f>
        <v>0.4470835525866439</v>
      </c>
      <c r="AT146" s="46" t="e">
        <f t="shared" si="142"/>
        <v>#REF!</v>
      </c>
      <c r="AU146" s="171" t="e">
        <f t="shared" si="56"/>
        <v>#REF!</v>
      </c>
      <c r="AV146" s="171" t="e">
        <f t="shared" si="65"/>
        <v>#REF!</v>
      </c>
      <c r="AW146" s="171">
        <f t="shared" si="66"/>
        <v>0</v>
      </c>
      <c r="AX146" s="171"/>
      <c r="AY146" s="171"/>
      <c r="AZ146" s="255"/>
      <c r="BA146" s="171"/>
      <c r="BB146" s="171"/>
      <c r="BC146" s="171"/>
    </row>
    <row r="147" spans="1:55">
      <c r="A147" s="74"/>
      <c r="B147" s="74"/>
      <c r="C147" s="85" t="s">
        <v>323</v>
      </c>
      <c r="D147" s="75"/>
      <c r="E147" s="319" t="s">
        <v>429</v>
      </c>
      <c r="F147" s="74">
        <v>2030</v>
      </c>
      <c r="G147" s="74"/>
      <c r="H147" s="76"/>
      <c r="I147" s="399">
        <f t="shared" si="154"/>
        <v>4.5454545454545456E-2</v>
      </c>
      <c r="J147" s="413">
        <f t="shared" si="155"/>
        <v>0.43181818181818182</v>
      </c>
      <c r="K147" s="413">
        <f t="shared" si="156"/>
        <v>0.95652173913043481</v>
      </c>
      <c r="L147" s="399">
        <f t="shared" si="157"/>
        <v>4.5454545454545456E-2</v>
      </c>
      <c r="M147" s="413">
        <f t="shared" si="158"/>
        <v>0.56818181818181823</v>
      </c>
      <c r="N147" s="413">
        <f t="shared" si="159"/>
        <v>0.43181818181818182</v>
      </c>
      <c r="O147" s="74"/>
      <c r="P147" s="74"/>
      <c r="Q147" s="74"/>
      <c r="R147" s="74"/>
      <c r="S147" s="74"/>
      <c r="T147" s="414">
        <f>1.8*Euro*100/176*(1500/1800)</f>
        <v>6.3494318181818183</v>
      </c>
      <c r="U147" s="415">
        <f>47000*Euro/1000000*(100/176)*(37.5/45)</f>
        <v>0.16579071969696973</v>
      </c>
      <c r="V147" s="79">
        <v>0</v>
      </c>
      <c r="W147" s="78"/>
      <c r="X147" s="74"/>
      <c r="Y147" s="78"/>
      <c r="Z147" s="74"/>
      <c r="AA147" s="79"/>
      <c r="AB147" s="79"/>
      <c r="AC147" s="79"/>
      <c r="AD147" s="28"/>
      <c r="AE147" s="28">
        <v>5</v>
      </c>
      <c r="AF147" s="305"/>
      <c r="AI147" s="46"/>
      <c r="AJ147" s="393" t="s">
        <v>208</v>
      </c>
      <c r="AK147" s="60"/>
      <c r="AL147" s="47"/>
      <c r="AM147" s="302"/>
      <c r="AN147" s="302"/>
      <c r="AO147" s="302"/>
      <c r="AP147" s="302"/>
      <c r="AQ147" s="159">
        <v>41545</v>
      </c>
      <c r="AR147" s="46" t="s">
        <v>334</v>
      </c>
      <c r="AS147" s="169">
        <f>-PMT($AT$10,Z145,T147)</f>
        <v>0.40643959326058537</v>
      </c>
      <c r="AT147" s="46" t="e">
        <f t="shared" si="142"/>
        <v>#REF!</v>
      </c>
      <c r="AU147" s="171" t="e">
        <f t="shared" si="56"/>
        <v>#REF!</v>
      </c>
      <c r="AV147" s="171" t="e">
        <f t="shared" si="65"/>
        <v>#REF!</v>
      </c>
      <c r="AW147" s="171">
        <f t="shared" si="66"/>
        <v>0</v>
      </c>
      <c r="AX147" s="171"/>
      <c r="AY147" s="171"/>
      <c r="AZ147" s="255"/>
      <c r="BA147" s="171"/>
      <c r="BB147" s="171"/>
      <c r="BC147" s="171"/>
    </row>
    <row r="148" spans="1:55">
      <c r="A148" s="74"/>
      <c r="B148" s="74"/>
      <c r="C148" s="85"/>
      <c r="D148" s="75"/>
      <c r="E148" s="319" t="s">
        <v>429</v>
      </c>
      <c r="F148" s="74">
        <v>2050</v>
      </c>
      <c r="G148" s="74"/>
      <c r="H148" s="76"/>
      <c r="I148" s="399">
        <f t="shared" si="154"/>
        <v>4.5454545454545456E-2</v>
      </c>
      <c r="J148" s="413">
        <f t="shared" si="155"/>
        <v>0.43181818181818182</v>
      </c>
      <c r="K148" s="413">
        <f t="shared" si="156"/>
        <v>0.95652173913043481</v>
      </c>
      <c r="L148" s="399">
        <f t="shared" si="157"/>
        <v>4.5454545454545456E-2</v>
      </c>
      <c r="M148" s="413">
        <f t="shared" si="158"/>
        <v>0.56818181818181823</v>
      </c>
      <c r="N148" s="413">
        <f t="shared" si="159"/>
        <v>0.43181818181818182</v>
      </c>
      <c r="O148" s="74"/>
      <c r="P148" s="74"/>
      <c r="Q148" s="74"/>
      <c r="R148" s="74"/>
      <c r="S148" s="74"/>
      <c r="T148" s="414">
        <f>1.8*Euro*100/176*(1350/1800)</f>
        <v>5.7144886363636367</v>
      </c>
      <c r="U148" s="415">
        <f>47000*Euro/1000000*(100/176)*(35/45)</f>
        <v>0.15473800505050508</v>
      </c>
      <c r="V148" s="79">
        <v>0</v>
      </c>
      <c r="W148" s="78"/>
      <c r="X148" s="74"/>
      <c r="Y148" s="78"/>
      <c r="Z148" s="74"/>
      <c r="AA148" s="79"/>
      <c r="AB148" s="79"/>
      <c r="AC148" s="79"/>
      <c r="AD148" s="28"/>
      <c r="AE148" s="28"/>
      <c r="AF148" s="305"/>
      <c r="AI148" s="46"/>
      <c r="AJ148" s="393" t="s">
        <v>208</v>
      </c>
      <c r="AK148" s="60"/>
      <c r="AL148" s="47"/>
      <c r="AM148" s="302"/>
      <c r="AN148" s="302"/>
      <c r="AO148" s="302"/>
      <c r="AP148" s="302"/>
      <c r="AQ148" s="159">
        <v>41545</v>
      </c>
      <c r="AR148" s="46" t="s">
        <v>334</v>
      </c>
      <c r="AS148" s="169">
        <f>-PMT($AT$10,Z145,T148)</f>
        <v>0.3657956339345268</v>
      </c>
      <c r="AT148" s="46" t="e">
        <f t="shared" si="142"/>
        <v>#REF!</v>
      </c>
      <c r="AU148" s="171" t="e">
        <f t="shared" si="56"/>
        <v>#REF!</v>
      </c>
      <c r="AV148" s="171" t="e">
        <f t="shared" si="65"/>
        <v>#REF!</v>
      </c>
      <c r="AW148" s="171">
        <f t="shared" si="66"/>
        <v>0</v>
      </c>
      <c r="AX148" s="171"/>
      <c r="AY148" s="171"/>
      <c r="AZ148" s="255"/>
      <c r="BA148" s="171"/>
      <c r="BB148" s="171"/>
      <c r="BC148" s="171"/>
    </row>
    <row r="149" spans="1:55">
      <c r="A149" s="74" t="s">
        <v>457</v>
      </c>
      <c r="B149" s="74" t="s">
        <v>160</v>
      </c>
      <c r="C149" s="85" t="s">
        <v>171</v>
      </c>
      <c r="D149" s="75" t="s">
        <v>99</v>
      </c>
      <c r="E149" s="319" t="s">
        <v>429</v>
      </c>
      <c r="F149" s="74">
        <v>2015</v>
      </c>
      <c r="G149" s="74">
        <v>2015</v>
      </c>
      <c r="H149" s="76">
        <v>26</v>
      </c>
      <c r="I149" s="399">
        <f>5/208</f>
        <v>2.403846153846154E-2</v>
      </c>
      <c r="J149" s="413">
        <f t="shared" ref="J149:J152" si="160">108/208</f>
        <v>0.51923076923076927</v>
      </c>
      <c r="K149" s="413">
        <f>1/(I149+M149+N149)</f>
        <v>0.97652582159624401</v>
      </c>
      <c r="L149" s="399">
        <f>5/208</f>
        <v>2.403846153846154E-2</v>
      </c>
      <c r="M149" s="413">
        <f>100/208</f>
        <v>0.48076923076923078</v>
      </c>
      <c r="N149" s="413">
        <f>108/208</f>
        <v>0.51923076923076927</v>
      </c>
      <c r="O149" s="74"/>
      <c r="P149" s="74"/>
      <c r="Q149" s="74"/>
      <c r="T149" s="79">
        <f>2*Euro*100/208</f>
        <v>7.1634615384615383</v>
      </c>
      <c r="U149" s="79">
        <f>49000*Euro/1000000*(100/208)</f>
        <v>0.1755048076923077</v>
      </c>
      <c r="V149" s="79">
        <v>0</v>
      </c>
      <c r="W149" s="78">
        <v>3.1536000000000002E-2</v>
      </c>
      <c r="X149" s="86">
        <v>0.98</v>
      </c>
      <c r="Y149" s="78">
        <v>1</v>
      </c>
      <c r="Z149" s="76">
        <v>25</v>
      </c>
      <c r="AD149" s="46"/>
      <c r="AE149" s="28"/>
      <c r="AF149" s="305">
        <v>4</v>
      </c>
      <c r="AI149" s="46"/>
      <c r="AJ149" s="393" t="s">
        <v>208</v>
      </c>
      <c r="AK149" s="60"/>
      <c r="AL149" s="47"/>
      <c r="AM149" s="302"/>
      <c r="AN149" s="302"/>
      <c r="AO149" s="302"/>
      <c r="AP149" s="302"/>
      <c r="AQ149" s="159">
        <v>41545</v>
      </c>
      <c r="AR149" s="46" t="s">
        <v>334</v>
      </c>
      <c r="AS149" s="169">
        <f>-PMT($AT$10,Z149,T149)</f>
        <v>0.45854723342219883</v>
      </c>
      <c r="AT149" s="46" t="e">
        <f t="shared" si="142"/>
        <v>#REF!</v>
      </c>
      <c r="AU149" s="171" t="e">
        <f t="shared" si="56"/>
        <v>#REF!</v>
      </c>
      <c r="AV149" s="171" t="e">
        <f t="shared" si="65"/>
        <v>#REF!</v>
      </c>
      <c r="AW149" s="171">
        <f t="shared" si="66"/>
        <v>0</v>
      </c>
      <c r="AX149" s="171"/>
      <c r="AY149" s="171"/>
      <c r="AZ149" s="255"/>
      <c r="BA149" s="171"/>
      <c r="BB149" s="171"/>
      <c r="BC149" s="171"/>
    </row>
    <row r="150" spans="1:55">
      <c r="A150" s="74"/>
      <c r="B150" s="74"/>
      <c r="C150" s="85" t="s">
        <v>26</v>
      </c>
      <c r="D150" s="75"/>
      <c r="E150" s="319" t="s">
        <v>429</v>
      </c>
      <c r="F150" s="74">
        <v>2020</v>
      </c>
      <c r="G150" s="74"/>
      <c r="H150" s="76"/>
      <c r="I150" s="399">
        <f t="shared" ref="I150:I152" si="161">5/208</f>
        <v>2.403846153846154E-2</v>
      </c>
      <c r="J150" s="413">
        <f t="shared" si="160"/>
        <v>0.51923076923076927</v>
      </c>
      <c r="K150" s="413">
        <f>1/(I150+M150+N150)</f>
        <v>0.97652582159624401</v>
      </c>
      <c r="L150" s="399">
        <f t="shared" ref="L150:L152" si="162">5/208</f>
        <v>2.403846153846154E-2</v>
      </c>
      <c r="M150" s="413">
        <f t="shared" ref="M150:M152" si="163">100/208</f>
        <v>0.48076923076923078</v>
      </c>
      <c r="N150" s="413">
        <f t="shared" ref="N150:N152" si="164">108/208</f>
        <v>0.51923076923076927</v>
      </c>
      <c r="O150" s="74"/>
      <c r="P150" s="74"/>
      <c r="Q150" s="74"/>
      <c r="T150" s="79">
        <f>2*Euro*100/208</f>
        <v>7.1634615384615383</v>
      </c>
      <c r="U150" s="79">
        <f>49000*Euro/1000000*(100/208)</f>
        <v>0.1755048076923077</v>
      </c>
      <c r="V150" s="79">
        <v>0</v>
      </c>
      <c r="W150" s="78"/>
      <c r="X150" s="74"/>
      <c r="Y150" s="78"/>
      <c r="Z150" s="74"/>
      <c r="AD150" s="46"/>
      <c r="AE150" s="47">
        <v>5</v>
      </c>
      <c r="AF150" s="305"/>
      <c r="AI150" s="46"/>
      <c r="AJ150" s="393" t="s">
        <v>208</v>
      </c>
      <c r="AK150" s="60"/>
      <c r="AL150" s="47"/>
      <c r="AM150" s="302"/>
      <c r="AN150" s="302"/>
      <c r="AO150" s="302"/>
      <c r="AP150" s="302"/>
      <c r="AQ150" s="159">
        <v>41545</v>
      </c>
      <c r="AR150" s="46" t="s">
        <v>334</v>
      </c>
      <c r="AS150" s="169">
        <f>-PMT($AT$10,Z149,T150)</f>
        <v>0.45854723342219883</v>
      </c>
      <c r="AT150" s="46" t="e">
        <f t="shared" si="142"/>
        <v>#REF!</v>
      </c>
      <c r="AU150" s="171" t="e">
        <f t="shared" si="56"/>
        <v>#REF!</v>
      </c>
      <c r="AV150" s="171" t="e">
        <f t="shared" si="65"/>
        <v>#REF!</v>
      </c>
      <c r="AW150" s="171">
        <f t="shared" si="66"/>
        <v>0</v>
      </c>
      <c r="AX150" s="171"/>
      <c r="AY150" s="171"/>
      <c r="AZ150" s="255"/>
      <c r="BA150" s="171"/>
      <c r="BB150" s="171"/>
      <c r="BC150" s="171"/>
    </row>
    <row r="151" spans="1:55">
      <c r="A151" s="74"/>
      <c r="B151" s="74"/>
      <c r="C151" s="85" t="s">
        <v>323</v>
      </c>
      <c r="D151" s="75"/>
      <c r="E151" s="319" t="s">
        <v>429</v>
      </c>
      <c r="F151" s="74">
        <v>2030</v>
      </c>
      <c r="G151" s="74"/>
      <c r="H151" s="76"/>
      <c r="I151" s="399">
        <f t="shared" si="161"/>
        <v>2.403846153846154E-2</v>
      </c>
      <c r="J151" s="413">
        <f t="shared" si="160"/>
        <v>0.51923076923076927</v>
      </c>
      <c r="K151" s="413">
        <f>1/(I151+M151+N151)</f>
        <v>0.97652582159624401</v>
      </c>
      <c r="L151" s="399">
        <f t="shared" si="162"/>
        <v>2.403846153846154E-2</v>
      </c>
      <c r="M151" s="413">
        <f t="shared" si="163"/>
        <v>0.48076923076923078</v>
      </c>
      <c r="N151" s="413">
        <f t="shared" si="164"/>
        <v>0.51923076923076927</v>
      </c>
      <c r="O151" s="74"/>
      <c r="P151" s="74"/>
      <c r="Q151" s="74"/>
      <c r="R151" s="74"/>
      <c r="S151" s="74"/>
      <c r="T151" s="79">
        <f>2*Euro*100/208</f>
        <v>7.1634615384615383</v>
      </c>
      <c r="U151" s="79">
        <f>49000*Euro/1000000*(100/208)</f>
        <v>0.1755048076923077</v>
      </c>
      <c r="V151" s="79">
        <v>0</v>
      </c>
      <c r="W151" s="78"/>
      <c r="X151" s="86"/>
      <c r="Y151" s="78"/>
      <c r="Z151" s="76"/>
      <c r="AA151" s="79"/>
      <c r="AB151" s="79"/>
      <c r="AC151" s="79"/>
      <c r="AD151" s="28"/>
      <c r="AE151" s="47">
        <v>5</v>
      </c>
      <c r="AF151" s="305"/>
      <c r="AI151" s="46"/>
      <c r="AJ151" s="393" t="s">
        <v>208</v>
      </c>
      <c r="AK151" s="60"/>
      <c r="AL151" s="47"/>
      <c r="AM151" s="302"/>
      <c r="AN151" s="302"/>
      <c r="AO151" s="302"/>
      <c r="AP151" s="302"/>
      <c r="AQ151" s="159">
        <v>41545</v>
      </c>
      <c r="AR151" s="46" t="s">
        <v>334</v>
      </c>
      <c r="AS151" s="169">
        <f>-PMT($AT$10,Z149,T151)</f>
        <v>0.45854723342219883</v>
      </c>
      <c r="AT151" s="46" t="e">
        <f t="shared" si="142"/>
        <v>#REF!</v>
      </c>
      <c r="AU151" s="171" t="e">
        <f t="shared" si="56"/>
        <v>#REF!</v>
      </c>
      <c r="AV151" s="171" t="e">
        <f t="shared" si="65"/>
        <v>#REF!</v>
      </c>
      <c r="AW151" s="171">
        <f t="shared" si="66"/>
        <v>0</v>
      </c>
      <c r="AX151" s="171"/>
      <c r="AY151" s="171"/>
      <c r="AZ151" s="255"/>
      <c r="BA151" s="171"/>
      <c r="BB151" s="171"/>
      <c r="BC151" s="171"/>
    </row>
    <row r="152" spans="1:55">
      <c r="A152" s="74"/>
      <c r="B152" s="74"/>
      <c r="C152" s="85"/>
      <c r="D152" s="75"/>
      <c r="E152" s="319" t="s">
        <v>429</v>
      </c>
      <c r="F152" s="74">
        <v>2050</v>
      </c>
      <c r="G152" s="74"/>
      <c r="H152" s="76"/>
      <c r="I152" s="399">
        <f t="shared" si="161"/>
        <v>2.403846153846154E-2</v>
      </c>
      <c r="J152" s="413">
        <f t="shared" si="160"/>
        <v>0.51923076923076927</v>
      </c>
      <c r="K152" s="413">
        <f>1/(I152+M152+N152)</f>
        <v>0.97652582159624401</v>
      </c>
      <c r="L152" s="399">
        <f t="shared" si="162"/>
        <v>2.403846153846154E-2</v>
      </c>
      <c r="M152" s="413">
        <f t="shared" si="163"/>
        <v>0.48076923076923078</v>
      </c>
      <c r="N152" s="413">
        <f t="shared" si="164"/>
        <v>0.51923076923076927</v>
      </c>
      <c r="O152" s="74"/>
      <c r="P152" s="74"/>
      <c r="Q152" s="74"/>
      <c r="R152" s="74"/>
      <c r="S152" s="74"/>
      <c r="T152" s="79">
        <f>2*Euro*100/208</f>
        <v>7.1634615384615383</v>
      </c>
      <c r="U152" s="79">
        <f>49000*Euro/1000000*(100/208)</f>
        <v>0.1755048076923077</v>
      </c>
      <c r="V152" s="79">
        <v>0</v>
      </c>
      <c r="W152" s="78"/>
      <c r="X152" s="74"/>
      <c r="Y152" s="78"/>
      <c r="Z152" s="74"/>
      <c r="AA152" s="79"/>
      <c r="AB152" s="79"/>
      <c r="AC152" s="79"/>
      <c r="AD152" s="28"/>
      <c r="AE152" s="28"/>
      <c r="AF152" s="305"/>
      <c r="AI152" s="46"/>
      <c r="AJ152" s="393" t="s">
        <v>208</v>
      </c>
      <c r="AK152" s="60"/>
      <c r="AL152" s="47"/>
      <c r="AM152" s="302"/>
      <c r="AN152" s="302"/>
      <c r="AO152" s="302"/>
      <c r="AP152" s="302"/>
      <c r="AQ152" s="159">
        <v>41545</v>
      </c>
      <c r="AR152" s="46" t="s">
        <v>334</v>
      </c>
      <c r="AS152" s="169">
        <f>-PMT($AT$10,Z149,T152)</f>
        <v>0.45854723342219883</v>
      </c>
      <c r="AT152" s="46" t="e">
        <f t="shared" si="142"/>
        <v>#REF!</v>
      </c>
      <c r="AU152" s="171" t="e">
        <f t="shared" si="56"/>
        <v>#REF!</v>
      </c>
      <c r="AV152" s="171" t="e">
        <f t="shared" si="65"/>
        <v>#REF!</v>
      </c>
      <c r="AW152" s="171">
        <f t="shared" si="66"/>
        <v>0</v>
      </c>
      <c r="AX152" s="171"/>
      <c r="AY152" s="171"/>
      <c r="AZ152" s="255"/>
      <c r="BA152" s="171"/>
      <c r="BB152" s="171"/>
      <c r="BC152" s="171"/>
    </row>
    <row r="153" spans="1:55">
      <c r="A153" s="74" t="s">
        <v>458</v>
      </c>
      <c r="B153" s="74" t="s">
        <v>161</v>
      </c>
      <c r="C153" s="85" t="s">
        <v>171</v>
      </c>
      <c r="D153" s="75" t="s">
        <v>99</v>
      </c>
      <c r="E153" s="319" t="s">
        <v>429</v>
      </c>
      <c r="F153" s="74">
        <v>2015</v>
      </c>
      <c r="G153" s="74">
        <v>2015</v>
      </c>
      <c r="H153" s="76">
        <v>0</v>
      </c>
      <c r="I153" s="399">
        <f>(17+8)/117</f>
        <v>0.21367521367521367</v>
      </c>
      <c r="J153" s="413"/>
      <c r="K153" s="413">
        <f t="shared" si="156"/>
        <v>0.93600000000000005</v>
      </c>
      <c r="L153" s="399">
        <f>(17+8)/117</f>
        <v>0.21367521367521367</v>
      </c>
      <c r="M153" s="399">
        <f>100/117</f>
        <v>0.85470085470085466</v>
      </c>
      <c r="N153" s="413"/>
      <c r="O153" s="74"/>
      <c r="P153" s="74"/>
      <c r="Q153" s="74"/>
      <c r="R153" s="74"/>
      <c r="S153" s="74"/>
      <c r="T153" s="79">
        <f>1.6*Euro*(100/117)</f>
        <v>10.188034188034189</v>
      </c>
      <c r="U153" s="79">
        <f>37000*Euro/1000000*(100/117)</f>
        <v>0.2355982905982906</v>
      </c>
      <c r="V153" s="79">
        <v>0</v>
      </c>
      <c r="W153" s="78">
        <v>3.1536000000000002E-2</v>
      </c>
      <c r="X153" s="86">
        <v>0.98</v>
      </c>
      <c r="Y153" s="78">
        <v>1</v>
      </c>
      <c r="Z153" s="76">
        <v>25</v>
      </c>
      <c r="AA153" s="79"/>
      <c r="AB153" s="79"/>
      <c r="AC153" s="79"/>
      <c r="AD153" s="28"/>
      <c r="AE153" s="28"/>
      <c r="AF153" s="305">
        <v>4</v>
      </c>
      <c r="AI153" s="46"/>
      <c r="AJ153" s="393" t="s">
        <v>208</v>
      </c>
      <c r="AK153" s="60">
        <v>41464</v>
      </c>
      <c r="AL153" s="47" t="s">
        <v>210</v>
      </c>
      <c r="AM153" s="302"/>
      <c r="AN153" s="302"/>
      <c r="AO153" s="302"/>
      <c r="AP153" s="302"/>
      <c r="AS153" s="169">
        <f>-PMT($AT$10,Z153,T153)</f>
        <v>0.65215606531157178</v>
      </c>
      <c r="AT153" s="46" t="e">
        <f t="shared" si="142"/>
        <v>#REF!</v>
      </c>
      <c r="AU153" s="171" t="e">
        <f t="shared" si="56"/>
        <v>#REF!</v>
      </c>
      <c r="AV153" s="171" t="e">
        <f t="shared" si="65"/>
        <v>#REF!</v>
      </c>
      <c r="AW153" s="171">
        <f t="shared" si="66"/>
        <v>0</v>
      </c>
      <c r="AX153" s="171"/>
      <c r="AY153" s="171"/>
      <c r="AZ153" s="255"/>
      <c r="BA153" s="171"/>
      <c r="BB153" s="171"/>
      <c r="BC153" s="171"/>
    </row>
    <row r="154" spans="1:55">
      <c r="A154" s="74"/>
      <c r="B154" s="74"/>
      <c r="C154" s="74" t="s">
        <v>26</v>
      </c>
      <c r="D154" s="75"/>
      <c r="E154" s="319" t="s">
        <v>429</v>
      </c>
      <c r="F154" s="74">
        <v>2020</v>
      </c>
      <c r="G154" s="74"/>
      <c r="H154" s="74"/>
      <c r="I154" s="399">
        <f t="shared" ref="I154:I156" si="165">(17+8)/117</f>
        <v>0.21367521367521367</v>
      </c>
      <c r="J154" s="413"/>
      <c r="K154" s="413">
        <f t="shared" si="156"/>
        <v>0.93600000000000005</v>
      </c>
      <c r="L154" s="399">
        <f t="shared" ref="L154:L156" si="166">(17+8)/117</f>
        <v>0.21367521367521367</v>
      </c>
      <c r="M154" s="399">
        <f t="shared" ref="M154:M156" si="167">100/117</f>
        <v>0.85470085470085466</v>
      </c>
      <c r="N154" s="416"/>
      <c r="O154" s="74"/>
      <c r="P154" s="74"/>
      <c r="Q154" s="74"/>
      <c r="R154" s="74"/>
      <c r="S154" s="74"/>
      <c r="T154" s="79">
        <f>1.6*Euro*(100/117)</f>
        <v>10.188034188034189</v>
      </c>
      <c r="U154" s="79">
        <f>34000*Euro/1000000*(100/117)</f>
        <v>0.21649572649572651</v>
      </c>
      <c r="V154" s="79">
        <v>0</v>
      </c>
      <c r="W154" s="78"/>
      <c r="X154" s="74"/>
      <c r="Y154" s="78"/>
      <c r="Z154" s="74"/>
      <c r="AA154" s="79"/>
      <c r="AB154" s="79"/>
      <c r="AC154" s="79"/>
      <c r="AD154" s="28"/>
      <c r="AE154" s="28">
        <v>5</v>
      </c>
      <c r="AF154" s="305"/>
      <c r="AI154" s="46"/>
      <c r="AJ154" s="393" t="s">
        <v>208</v>
      </c>
      <c r="AK154" s="60">
        <v>41464</v>
      </c>
      <c r="AL154" s="47" t="s">
        <v>210</v>
      </c>
      <c r="AM154" s="302"/>
      <c r="AN154" s="302"/>
      <c r="AO154" s="302"/>
      <c r="AP154" s="302"/>
      <c r="AS154" s="169">
        <f>-PMT($AT$10,Z153,T154)</f>
        <v>0.65215606531157178</v>
      </c>
      <c r="AT154" s="46" t="e">
        <f t="shared" si="142"/>
        <v>#REF!</v>
      </c>
      <c r="AU154" s="171" t="e">
        <f t="shared" si="56"/>
        <v>#REF!</v>
      </c>
      <c r="AV154" s="171" t="e">
        <f t="shared" si="65"/>
        <v>#REF!</v>
      </c>
      <c r="AW154" s="171">
        <f t="shared" si="66"/>
        <v>0</v>
      </c>
      <c r="AX154" s="171"/>
      <c r="AY154" s="171"/>
      <c r="AZ154" s="255"/>
      <c r="BA154" s="171"/>
      <c r="BB154" s="171"/>
      <c r="BC154" s="171"/>
    </row>
    <row r="155" spans="1:55">
      <c r="A155" s="74"/>
      <c r="B155" s="74"/>
      <c r="C155" s="74"/>
      <c r="D155" s="75"/>
      <c r="E155" s="319" t="s">
        <v>429</v>
      </c>
      <c r="F155" s="74">
        <v>2030</v>
      </c>
      <c r="G155" s="74"/>
      <c r="H155" s="74"/>
      <c r="I155" s="399">
        <f t="shared" si="165"/>
        <v>0.21367521367521367</v>
      </c>
      <c r="J155" s="413"/>
      <c r="K155" s="413">
        <f t="shared" si="156"/>
        <v>0.93600000000000005</v>
      </c>
      <c r="L155" s="399">
        <f t="shared" si="166"/>
        <v>0.21367521367521367</v>
      </c>
      <c r="M155" s="399">
        <f t="shared" si="167"/>
        <v>0.85470085470085466</v>
      </c>
      <c r="N155" s="416"/>
      <c r="O155" s="74"/>
      <c r="P155" s="74"/>
      <c r="Q155" s="74"/>
      <c r="R155" s="74"/>
      <c r="S155" s="74"/>
      <c r="T155" s="79">
        <f>1.6*Euro*(100/117)</f>
        <v>10.188034188034189</v>
      </c>
      <c r="U155" s="79">
        <f>34000*Euro/1000000*(100/117)</f>
        <v>0.21649572649572651</v>
      </c>
      <c r="V155" s="79">
        <v>0</v>
      </c>
      <c r="W155" s="78"/>
      <c r="X155" s="74"/>
      <c r="Y155" s="78"/>
      <c r="Z155" s="74"/>
      <c r="AA155" s="79"/>
      <c r="AB155" s="79"/>
      <c r="AC155" s="79"/>
      <c r="AD155" s="28"/>
      <c r="AE155" s="28"/>
      <c r="AF155" s="305"/>
      <c r="AI155" s="46"/>
      <c r="AJ155" s="393" t="s">
        <v>208</v>
      </c>
      <c r="AK155" s="60">
        <v>41464</v>
      </c>
      <c r="AL155" s="47" t="s">
        <v>210</v>
      </c>
      <c r="AM155" s="302"/>
      <c r="AN155" s="302"/>
      <c r="AO155" s="302"/>
      <c r="AP155" s="302"/>
      <c r="AS155" s="169">
        <f>-PMT($AT$10,Z153,T155)</f>
        <v>0.65215606531157178</v>
      </c>
      <c r="AT155" s="46" t="e">
        <f t="shared" si="142"/>
        <v>#REF!</v>
      </c>
      <c r="AU155" s="171" t="e">
        <f t="shared" si="56"/>
        <v>#REF!</v>
      </c>
      <c r="AV155" s="171" t="e">
        <f t="shared" si="65"/>
        <v>#REF!</v>
      </c>
      <c r="AW155" s="171">
        <f t="shared" si="66"/>
        <v>0</v>
      </c>
      <c r="AX155" s="171"/>
      <c r="AY155" s="171"/>
      <c r="AZ155" s="255"/>
      <c r="BA155" s="171"/>
      <c r="BB155" s="171"/>
      <c r="BC155" s="171"/>
    </row>
    <row r="156" spans="1:55">
      <c r="A156" s="74"/>
      <c r="B156" s="74"/>
      <c r="C156" s="74"/>
      <c r="D156" s="75"/>
      <c r="E156" s="319" t="s">
        <v>429</v>
      </c>
      <c r="F156" s="74">
        <v>2050</v>
      </c>
      <c r="G156" s="74"/>
      <c r="H156" s="74"/>
      <c r="I156" s="399">
        <f t="shared" si="165"/>
        <v>0.21367521367521367</v>
      </c>
      <c r="J156" s="413"/>
      <c r="K156" s="413">
        <f t="shared" ref="K156" si="168">1/(L156+M156)</f>
        <v>0.93600000000000005</v>
      </c>
      <c r="L156" s="399">
        <f t="shared" si="166"/>
        <v>0.21367521367521367</v>
      </c>
      <c r="M156" s="399">
        <f t="shared" si="167"/>
        <v>0.85470085470085466</v>
      </c>
      <c r="N156" s="416"/>
      <c r="O156" s="74"/>
      <c r="P156" s="74"/>
      <c r="Q156" s="74"/>
      <c r="R156" s="74"/>
      <c r="S156" s="74"/>
      <c r="T156" s="79">
        <f>1.6*Euro*(100/117)</f>
        <v>10.188034188034189</v>
      </c>
      <c r="U156" s="79">
        <f>34000*Euro/1000000*(100/117)</f>
        <v>0.21649572649572651</v>
      </c>
      <c r="V156" s="79">
        <v>0</v>
      </c>
      <c r="W156" s="78"/>
      <c r="X156" s="74"/>
      <c r="Y156" s="78"/>
      <c r="Z156" s="74"/>
      <c r="AA156" s="79"/>
      <c r="AB156" s="79"/>
      <c r="AC156" s="79"/>
      <c r="AD156" s="28"/>
      <c r="AE156" s="28"/>
      <c r="AF156" s="305"/>
      <c r="AI156" s="46"/>
      <c r="AJ156" s="393" t="s">
        <v>208</v>
      </c>
      <c r="AK156" s="60">
        <v>41464</v>
      </c>
      <c r="AL156" s="47" t="s">
        <v>210</v>
      </c>
      <c r="AM156" s="302"/>
      <c r="AN156" s="302"/>
      <c r="AO156" s="302"/>
      <c r="AP156" s="302"/>
      <c r="AS156" s="169">
        <f>-PMT($AT$10,Z153,T156)</f>
        <v>0.65215606531157178</v>
      </c>
      <c r="AT156" s="46" t="e">
        <f t="shared" si="142"/>
        <v>#REF!</v>
      </c>
      <c r="AU156" s="171" t="e">
        <f t="shared" si="56"/>
        <v>#REF!</v>
      </c>
      <c r="AV156" s="171" t="e">
        <f t="shared" si="65"/>
        <v>#REF!</v>
      </c>
      <c r="AW156" s="171">
        <f t="shared" si="66"/>
        <v>0</v>
      </c>
      <c r="AX156" s="171"/>
      <c r="AY156" s="171"/>
      <c r="AZ156" s="255"/>
      <c r="BA156" s="171"/>
      <c r="BB156" s="171"/>
      <c r="BC156" s="171"/>
    </row>
    <row r="157" spans="1:55">
      <c r="A157" s="74" t="s">
        <v>459</v>
      </c>
      <c r="B157" s="74" t="s">
        <v>328</v>
      </c>
      <c r="C157" s="74" t="s">
        <v>93</v>
      </c>
      <c r="D157" s="75" t="s">
        <v>99</v>
      </c>
      <c r="E157" s="319" t="s">
        <v>429</v>
      </c>
      <c r="F157" s="74">
        <v>2015</v>
      </c>
      <c r="G157" s="74">
        <v>2015</v>
      </c>
      <c r="H157" s="76">
        <v>0</v>
      </c>
      <c r="I157" s="74"/>
      <c r="J157" s="74"/>
      <c r="K157" s="77">
        <v>1</v>
      </c>
      <c r="L157" s="77"/>
      <c r="M157" s="77"/>
      <c r="N157" s="46"/>
      <c r="O157" s="74"/>
      <c r="P157" s="74"/>
      <c r="Q157" s="74"/>
      <c r="R157" s="74"/>
      <c r="T157" s="435">
        <f>461*750/1000000*Euro</f>
        <v>2.5758375</v>
      </c>
      <c r="U157" s="62">
        <v>0</v>
      </c>
      <c r="V157" s="79">
        <f>0.57*Euro/3.6</f>
        <v>1.1795833333333334</v>
      </c>
      <c r="W157" s="78">
        <v>3.1536000000000002E-2</v>
      </c>
      <c r="X157" s="435"/>
      <c r="Y157" s="406">
        <v>0.3</v>
      </c>
      <c r="Z157" s="76">
        <v>30</v>
      </c>
      <c r="AA157" s="79"/>
      <c r="AB157" s="79"/>
      <c r="AC157" s="79"/>
      <c r="AD157" s="79"/>
      <c r="AE157" s="79">
        <v>5</v>
      </c>
      <c r="AF157" s="308">
        <v>1</v>
      </c>
      <c r="AI157" s="46"/>
      <c r="AJ157" s="393" t="s">
        <v>208</v>
      </c>
      <c r="AK157" s="60">
        <v>41464</v>
      </c>
      <c r="AL157" s="47" t="s">
        <v>210</v>
      </c>
      <c r="AM157" s="302"/>
      <c r="AN157" s="302"/>
      <c r="AO157" s="302"/>
      <c r="AP157" s="302"/>
      <c r="AQ157" s="159">
        <v>41545</v>
      </c>
      <c r="AR157" s="46" t="s">
        <v>334</v>
      </c>
      <c r="AS157" s="169">
        <f>-PMT($AT$10,Z157,T157)</f>
        <v>0.14896093797720239</v>
      </c>
      <c r="AT157" s="46" t="e">
        <f t="shared" si="142"/>
        <v>#REF!</v>
      </c>
      <c r="AU157" s="171" t="e">
        <f t="shared" si="56"/>
        <v>#REF!</v>
      </c>
      <c r="AV157" s="171" t="e">
        <f t="shared" si="65"/>
        <v>#REF!</v>
      </c>
      <c r="AW157" s="171">
        <f t="shared" si="66"/>
        <v>4.2465000000000011</v>
      </c>
      <c r="AX157" s="171"/>
      <c r="AY157" s="171"/>
      <c r="AZ157" s="255"/>
      <c r="BA157" s="171"/>
      <c r="BB157" s="171"/>
      <c r="BC157" s="171"/>
    </row>
    <row r="158" spans="1:55">
      <c r="A158" s="74"/>
      <c r="B158" s="74"/>
      <c r="C158" s="74"/>
      <c r="D158" s="75"/>
      <c r="E158" s="319" t="s">
        <v>429</v>
      </c>
      <c r="F158" s="74">
        <v>2020</v>
      </c>
      <c r="G158" s="74"/>
      <c r="H158" s="74"/>
      <c r="I158" s="74"/>
      <c r="J158" s="74"/>
      <c r="K158" s="77">
        <v>1</v>
      </c>
      <c r="L158" s="77"/>
      <c r="M158" s="77"/>
      <c r="N158" s="46"/>
      <c r="O158" s="74"/>
      <c r="P158" s="74"/>
      <c r="Q158" s="74"/>
      <c r="R158" s="74"/>
      <c r="S158" s="74"/>
      <c r="T158" s="435">
        <f>422*750/1000000*Euro</f>
        <v>2.3579250000000003</v>
      </c>
      <c r="U158" s="62">
        <v>0</v>
      </c>
      <c r="V158" s="79">
        <f>0.57*Euro/3.6</f>
        <v>1.1795833333333334</v>
      </c>
      <c r="W158" s="74"/>
      <c r="X158" s="74"/>
      <c r="Y158" s="74"/>
      <c r="Z158" s="74"/>
      <c r="AA158" s="79"/>
      <c r="AB158" s="79"/>
      <c r="AC158" s="79"/>
      <c r="AD158" s="79"/>
      <c r="AE158" s="79"/>
      <c r="AF158" s="308"/>
      <c r="AI158" s="46"/>
      <c r="AJ158" s="393" t="s">
        <v>208</v>
      </c>
      <c r="AK158" s="60">
        <v>41464</v>
      </c>
      <c r="AL158" s="47" t="s">
        <v>210</v>
      </c>
      <c r="AM158" s="302"/>
      <c r="AN158" s="302"/>
      <c r="AO158" s="302"/>
      <c r="AP158" s="302"/>
      <c r="AS158" s="169">
        <f>-PMT($AT$10,Z157,T158)</f>
        <v>0.13635903649973843</v>
      </c>
      <c r="AT158" s="46" t="e">
        <f t="shared" si="142"/>
        <v>#REF!</v>
      </c>
      <c r="AU158" s="171" t="e">
        <f t="shared" si="56"/>
        <v>#REF!</v>
      </c>
      <c r="AV158" s="171" t="e">
        <f t="shared" si="65"/>
        <v>#REF!</v>
      </c>
      <c r="AW158" s="171">
        <f t="shared" si="66"/>
        <v>4.2465000000000011</v>
      </c>
      <c r="AX158" s="171"/>
      <c r="AY158" s="171"/>
      <c r="AZ158" s="255"/>
      <c r="BA158" s="171"/>
      <c r="BB158" s="171"/>
      <c r="BC158" s="171"/>
    </row>
    <row r="159" spans="1:55">
      <c r="A159" s="74"/>
      <c r="B159" s="74"/>
      <c r="C159" s="74"/>
      <c r="D159" s="75"/>
      <c r="E159" s="319" t="s">
        <v>429</v>
      </c>
      <c r="F159" s="74">
        <v>2030</v>
      </c>
      <c r="G159" s="74"/>
      <c r="H159" s="74"/>
      <c r="I159" s="74"/>
      <c r="J159" s="74"/>
      <c r="K159" s="77">
        <v>1</v>
      </c>
      <c r="L159" s="77"/>
      <c r="M159" s="77"/>
      <c r="N159" s="46"/>
      <c r="O159" s="74"/>
      <c r="P159" s="74"/>
      <c r="Q159" s="74"/>
      <c r="R159" s="74"/>
      <c r="S159" s="74"/>
      <c r="T159" s="435">
        <f>342*750/1000000*Euro</f>
        <v>1.910925</v>
      </c>
      <c r="U159" s="62">
        <v>0</v>
      </c>
      <c r="V159" s="79">
        <f>0.57*Euro/3.6</f>
        <v>1.1795833333333334</v>
      </c>
      <c r="W159" s="74"/>
      <c r="X159" s="74"/>
      <c r="Y159" s="74"/>
      <c r="Z159" s="74"/>
      <c r="AA159" s="79"/>
      <c r="AB159" s="79"/>
      <c r="AC159" s="79"/>
      <c r="AD159" s="79"/>
      <c r="AE159" s="79"/>
      <c r="AF159" s="308"/>
      <c r="AI159" s="46"/>
      <c r="AJ159" s="393" t="s">
        <v>208</v>
      </c>
      <c r="AK159" s="60">
        <v>41464</v>
      </c>
      <c r="AL159" s="47" t="s">
        <v>210</v>
      </c>
      <c r="AM159" s="302"/>
      <c r="AN159" s="302"/>
      <c r="AO159" s="302"/>
      <c r="AP159" s="302"/>
      <c r="AS159" s="169">
        <f>-PMT($AT$10,Z157,T159)</f>
        <v>0.1105089821869918</v>
      </c>
      <c r="AT159" s="46" t="e">
        <f t="shared" si="142"/>
        <v>#REF!</v>
      </c>
      <c r="AU159" s="171" t="e">
        <f t="shared" si="56"/>
        <v>#REF!</v>
      </c>
      <c r="AV159" s="171" t="e">
        <f t="shared" si="65"/>
        <v>#REF!</v>
      </c>
      <c r="AW159" s="171">
        <f t="shared" si="66"/>
        <v>4.2465000000000011</v>
      </c>
      <c r="AX159" s="171"/>
      <c r="AY159" s="171"/>
      <c r="AZ159" s="255"/>
      <c r="BA159" s="171"/>
      <c r="BB159" s="171"/>
      <c r="BC159" s="171"/>
    </row>
    <row r="160" spans="1:55">
      <c r="A160" s="74"/>
      <c r="B160" s="74"/>
      <c r="C160" s="74"/>
      <c r="D160" s="75"/>
      <c r="E160" s="319" t="s">
        <v>429</v>
      </c>
      <c r="F160" s="74">
        <v>2050</v>
      </c>
      <c r="G160" s="74"/>
      <c r="H160" s="74"/>
      <c r="I160" s="74"/>
      <c r="J160" s="74"/>
      <c r="K160" s="77">
        <v>1</v>
      </c>
      <c r="L160" s="77"/>
      <c r="M160" s="77"/>
      <c r="N160" s="46"/>
      <c r="O160" s="74"/>
      <c r="P160" s="74"/>
      <c r="Q160" s="74"/>
      <c r="R160" s="74"/>
      <c r="S160" s="74"/>
      <c r="T160" s="435">
        <f>342*750/1000000*Euro</f>
        <v>1.910925</v>
      </c>
      <c r="U160" s="62">
        <v>0</v>
      </c>
      <c r="V160" s="79">
        <f>0.57*Euro/3.6</f>
        <v>1.1795833333333334</v>
      </c>
      <c r="W160" s="74"/>
      <c r="X160" s="74"/>
      <c r="Y160" s="74"/>
      <c r="Z160" s="74"/>
      <c r="AA160" s="79"/>
      <c r="AB160" s="79"/>
      <c r="AC160" s="79"/>
      <c r="AD160" s="79"/>
      <c r="AE160" s="79"/>
      <c r="AF160" s="308"/>
      <c r="AI160" s="46"/>
      <c r="AJ160" s="393" t="s">
        <v>208</v>
      </c>
      <c r="AK160" s="60">
        <v>41464</v>
      </c>
      <c r="AL160" s="47" t="s">
        <v>210</v>
      </c>
      <c r="AM160" s="302"/>
      <c r="AN160" s="302"/>
      <c r="AO160" s="302"/>
      <c r="AP160" s="302"/>
      <c r="AS160" s="169">
        <f>-PMT($AT$10,Z157,T160)</f>
        <v>0.1105089821869918</v>
      </c>
      <c r="AT160" s="46" t="e">
        <f t="shared" si="142"/>
        <v>#REF!</v>
      </c>
      <c r="AU160" s="171" t="e">
        <f t="shared" si="56"/>
        <v>#REF!</v>
      </c>
      <c r="AV160" s="171" t="e">
        <f t="shared" si="65"/>
        <v>#REF!</v>
      </c>
      <c r="AW160" s="171">
        <f t="shared" si="66"/>
        <v>4.2465000000000011</v>
      </c>
      <c r="AX160" s="171"/>
      <c r="AY160" s="171"/>
      <c r="AZ160" s="255"/>
      <c r="BA160" s="171"/>
      <c r="BB160" s="171"/>
      <c r="BC160" s="171"/>
    </row>
    <row r="161" spans="1:45">
      <c r="A161" s="303" t="s">
        <v>460</v>
      </c>
      <c r="B161" s="83" t="s">
        <v>407</v>
      </c>
      <c r="C161" s="157" t="s">
        <v>34</v>
      </c>
      <c r="D161" s="467" t="s">
        <v>99</v>
      </c>
      <c r="E161" s="398" t="s">
        <v>551</v>
      </c>
      <c r="F161" s="83">
        <v>2015</v>
      </c>
      <c r="G161" s="157">
        <v>2015</v>
      </c>
      <c r="H161" s="157">
        <v>37</v>
      </c>
      <c r="I161" s="157">
        <v>2.8000000000000001E-2</v>
      </c>
      <c r="J161" s="157"/>
      <c r="K161" s="157">
        <v>1.0569999999999999</v>
      </c>
      <c r="L161" s="46"/>
      <c r="M161" s="46"/>
      <c r="N161" s="46"/>
      <c r="O161" s="46"/>
      <c r="P161" s="46"/>
      <c r="Q161" s="46"/>
      <c r="R161" s="46"/>
      <c r="S161" s="46"/>
      <c r="T161" s="84">
        <f>AN161*Euro</f>
        <v>14.154999999999999</v>
      </c>
      <c r="U161" s="468">
        <f>AO161*Euro/1000000</f>
        <v>0.59599999999999997</v>
      </c>
      <c r="V161" s="84">
        <f>AP161*Euro/3.6</f>
        <v>12.416666666666668</v>
      </c>
      <c r="W161" s="46">
        <v>0.03</v>
      </c>
      <c r="X161" s="314">
        <v>0.95</v>
      </c>
      <c r="Y161" s="46">
        <v>1</v>
      </c>
      <c r="Z161" s="46">
        <v>25</v>
      </c>
      <c r="AA161" s="46">
        <v>90</v>
      </c>
      <c r="AB161" s="46">
        <v>0.3</v>
      </c>
      <c r="AC161" s="46">
        <v>1</v>
      </c>
      <c r="AD161" s="305">
        <f>0.27*1000*(1-98.2%)</f>
        <v>4.8600000000000048</v>
      </c>
      <c r="AF161" s="46">
        <v>2</v>
      </c>
      <c r="AI161" s="46"/>
      <c r="AJ161" s="397" t="s">
        <v>586</v>
      </c>
      <c r="AK161" s="404">
        <v>42958</v>
      </c>
      <c r="AL161" s="405" t="s">
        <v>576</v>
      </c>
      <c r="AM161" s="302" t="s">
        <v>591</v>
      </c>
      <c r="AN161" s="302">
        <v>1.9</v>
      </c>
      <c r="AO161" s="302">
        <v>80000</v>
      </c>
      <c r="AP161" s="302">
        <v>6</v>
      </c>
      <c r="AS161" s="169"/>
    </row>
    <row r="162" spans="1:45">
      <c r="B162" s="46"/>
      <c r="C162" s="157"/>
      <c r="D162" s="157"/>
      <c r="E162" s="398" t="s">
        <v>551</v>
      </c>
      <c r="F162" s="83">
        <v>2020</v>
      </c>
      <c r="G162" s="157"/>
      <c r="H162" s="157"/>
      <c r="I162" s="157">
        <v>2.8000000000000001E-2</v>
      </c>
      <c r="J162" s="157"/>
      <c r="K162" s="157">
        <v>1.0569999999999999</v>
      </c>
      <c r="L162" s="46"/>
      <c r="M162" s="46"/>
      <c r="N162" s="46"/>
      <c r="O162" s="46"/>
      <c r="P162" s="46"/>
      <c r="Q162" s="46"/>
      <c r="R162" s="46"/>
      <c r="S162" s="46"/>
      <c r="T162" s="84">
        <f>AN162*Euro</f>
        <v>13.41</v>
      </c>
      <c r="U162" s="468">
        <f>AO162*Euro/1000000</f>
        <v>0.57364999999999999</v>
      </c>
      <c r="V162" s="84">
        <f>AP162*Euro/3.6</f>
        <v>12.416666666666668</v>
      </c>
      <c r="W162" s="46"/>
      <c r="X162" s="46"/>
      <c r="Y162" s="46"/>
      <c r="Z162" s="46"/>
      <c r="AA162" s="46">
        <v>70</v>
      </c>
      <c r="AB162" s="46">
        <v>0.1</v>
      </c>
      <c r="AC162" s="46">
        <v>1</v>
      </c>
      <c r="AD162" s="305">
        <f>0.27*1000*(1-98.4%)</f>
        <v>4.3199999999999736</v>
      </c>
      <c r="AI162" s="46"/>
      <c r="AJ162" s="397" t="s">
        <v>586</v>
      </c>
      <c r="AK162" s="404">
        <v>42958</v>
      </c>
      <c r="AL162" s="405" t="s">
        <v>576</v>
      </c>
      <c r="AM162" s="302" t="s">
        <v>591</v>
      </c>
      <c r="AN162" s="302">
        <v>1.8</v>
      </c>
      <c r="AO162" s="302">
        <v>77000</v>
      </c>
      <c r="AP162" s="302">
        <v>6</v>
      </c>
      <c r="AS162" s="169"/>
    </row>
    <row r="163" spans="1:45">
      <c r="B163" s="46"/>
      <c r="C163" s="157"/>
      <c r="D163" s="157"/>
      <c r="E163" s="398" t="s">
        <v>551</v>
      </c>
      <c r="F163" s="83">
        <v>2030</v>
      </c>
      <c r="G163" s="157"/>
      <c r="H163" s="157"/>
      <c r="I163" s="157">
        <v>2.8000000000000001E-2</v>
      </c>
      <c r="J163" s="157"/>
      <c r="K163" s="157">
        <v>1.06</v>
      </c>
      <c r="L163" s="46"/>
      <c r="M163" s="46"/>
      <c r="N163" s="46"/>
      <c r="O163" s="46"/>
      <c r="P163" s="46"/>
      <c r="Q163" s="46"/>
      <c r="R163" s="46"/>
      <c r="S163" s="46"/>
      <c r="T163" s="84">
        <f>AN163*Euro</f>
        <v>12.664999999999999</v>
      </c>
      <c r="U163" s="468">
        <f>AO163*Euro/1000000</f>
        <v>0.53639999999999999</v>
      </c>
      <c r="V163" s="84">
        <f>AP163*Euro/3.6</f>
        <v>12.416666666666668</v>
      </c>
      <c r="W163" s="46"/>
      <c r="X163" s="46"/>
      <c r="Y163" s="46"/>
      <c r="Z163" s="46"/>
      <c r="AA163" s="46">
        <v>60</v>
      </c>
      <c r="AB163" s="46">
        <v>0.1</v>
      </c>
      <c r="AC163" s="46">
        <v>1</v>
      </c>
      <c r="AD163" s="305">
        <f>0.27*1000*(1-98.4%)</f>
        <v>4.3199999999999736</v>
      </c>
      <c r="AI163" s="46"/>
      <c r="AJ163" s="397" t="s">
        <v>586</v>
      </c>
      <c r="AK163" s="404">
        <v>42958</v>
      </c>
      <c r="AL163" s="405" t="s">
        <v>576</v>
      </c>
      <c r="AM163" s="302" t="s">
        <v>591</v>
      </c>
      <c r="AN163" s="302">
        <v>1.7</v>
      </c>
      <c r="AO163" s="302">
        <v>72000</v>
      </c>
      <c r="AP163" s="302">
        <v>6</v>
      </c>
      <c r="AS163" s="169"/>
    </row>
    <row r="164" spans="1:45">
      <c r="B164" s="46"/>
      <c r="C164" s="157"/>
      <c r="D164" s="157"/>
      <c r="E164" s="398" t="s">
        <v>551</v>
      </c>
      <c r="F164" s="83">
        <v>2050</v>
      </c>
      <c r="G164" s="157"/>
      <c r="H164" s="157"/>
      <c r="I164" s="157">
        <v>2.7E-2</v>
      </c>
      <c r="J164" s="157"/>
      <c r="K164" s="157">
        <v>1.0649999999999999</v>
      </c>
      <c r="L164" s="46"/>
      <c r="M164" s="46"/>
      <c r="N164" s="46"/>
      <c r="O164" s="46"/>
      <c r="P164" s="46"/>
      <c r="Q164" s="46"/>
      <c r="R164" s="46"/>
      <c r="S164" s="46"/>
      <c r="T164" s="84">
        <f>AN164*Euro</f>
        <v>11.920000000000002</v>
      </c>
      <c r="U164" s="468">
        <f>AO164*Euro/1000000</f>
        <v>0.48425000000000001</v>
      </c>
      <c r="V164" s="84">
        <f>AP164*Euro/3.6</f>
        <v>12.416666666666668</v>
      </c>
      <c r="W164" s="46"/>
      <c r="X164" s="46"/>
      <c r="Y164" s="46"/>
      <c r="Z164" s="46"/>
      <c r="AA164" s="46">
        <v>20</v>
      </c>
      <c r="AB164" s="46">
        <v>0.1</v>
      </c>
      <c r="AC164" s="46">
        <v>0</v>
      </c>
      <c r="AD164" s="305">
        <f>0.27*1000*(1-98.4%)</f>
        <v>4.3199999999999736</v>
      </c>
      <c r="AI164" s="46"/>
      <c r="AJ164" s="397" t="s">
        <v>586</v>
      </c>
      <c r="AK164" s="404">
        <v>42958</v>
      </c>
      <c r="AL164" s="405" t="s">
        <v>576</v>
      </c>
      <c r="AM164" s="302" t="s">
        <v>591</v>
      </c>
      <c r="AN164" s="302">
        <v>1.6</v>
      </c>
      <c r="AO164" s="302">
        <v>65000</v>
      </c>
      <c r="AP164" s="302">
        <v>6</v>
      </c>
      <c r="AS164" s="169"/>
    </row>
    <row r="165" spans="1:45">
      <c r="N165" s="46"/>
      <c r="S165" s="46"/>
      <c r="T165" s="46"/>
      <c r="U165" s="46"/>
      <c r="V165" s="46"/>
      <c r="W165" s="46"/>
      <c r="X165" s="46"/>
      <c r="Y165" s="46"/>
      <c r="Z165" s="46"/>
      <c r="AA165" s="46"/>
      <c r="AD165" s="46"/>
      <c r="AI165" s="46"/>
      <c r="AS165" s="169"/>
    </row>
    <row r="166" spans="1:45">
      <c r="N166" s="46"/>
      <c r="Q166" s="46"/>
      <c r="R166" s="46"/>
      <c r="S166" s="46"/>
      <c r="T166" s="323"/>
      <c r="U166" s="46"/>
      <c r="V166" s="46"/>
      <c r="W166" s="46"/>
      <c r="X166" s="46"/>
      <c r="Y166" s="46"/>
      <c r="Z166" s="46"/>
      <c r="AA166" s="46"/>
      <c r="AD166" s="46"/>
      <c r="AI166" s="46"/>
      <c r="AS166" s="169"/>
    </row>
    <row r="167" spans="1:45">
      <c r="A167" s="88"/>
      <c r="B167" s="89"/>
      <c r="C167" s="89"/>
      <c r="D167" s="90" t="s">
        <v>0</v>
      </c>
      <c r="E167" s="89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D167" s="46"/>
      <c r="AI167" s="46"/>
    </row>
    <row r="168" spans="1:45">
      <c r="A168" s="91" t="s">
        <v>1</v>
      </c>
      <c r="B168" s="91" t="s">
        <v>2</v>
      </c>
      <c r="C168" s="91" t="s">
        <v>3</v>
      </c>
      <c r="D168" s="92" t="s">
        <v>4</v>
      </c>
      <c r="E168" s="91" t="s">
        <v>8</v>
      </c>
      <c r="F168" s="91" t="s">
        <v>331</v>
      </c>
      <c r="G168" s="91" t="s">
        <v>172</v>
      </c>
      <c r="H168" s="91" t="s">
        <v>11</v>
      </c>
      <c r="I168" s="91" t="s">
        <v>14</v>
      </c>
      <c r="J168" s="91" t="s">
        <v>15</v>
      </c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D168" s="46"/>
      <c r="AI168" s="46"/>
    </row>
    <row r="169" spans="1:45" ht="15" thickBot="1">
      <c r="A169" s="93" t="s">
        <v>97</v>
      </c>
      <c r="B169" s="94"/>
      <c r="C169" s="94"/>
      <c r="D169" s="95"/>
      <c r="E169" s="94"/>
      <c r="F169" s="94"/>
      <c r="G169" s="94"/>
      <c r="H169" s="94"/>
      <c r="I169" s="94"/>
      <c r="J169" s="94"/>
      <c r="O169" s="46"/>
      <c r="P169" s="46"/>
      <c r="Q169" s="46"/>
      <c r="R169" s="46"/>
      <c r="S169" s="46"/>
      <c r="T169" s="46"/>
      <c r="U169" s="46"/>
      <c r="V169" s="46"/>
      <c r="W169" s="46"/>
      <c r="X169" s="46"/>
      <c r="Y169" s="46"/>
      <c r="Z169" s="46"/>
      <c r="AA169" s="46"/>
      <c r="AD169" s="46"/>
      <c r="AI169" s="46"/>
    </row>
    <row r="170" spans="1:45" ht="15" thickBot="1">
      <c r="A170" s="96" t="s">
        <v>19</v>
      </c>
      <c r="B170" s="97"/>
      <c r="C170" s="97"/>
      <c r="D170" s="97"/>
      <c r="E170" s="97"/>
      <c r="F170" s="97"/>
      <c r="G170" s="97"/>
      <c r="H170" s="97"/>
      <c r="I170" s="97"/>
      <c r="J170" s="97"/>
      <c r="O170" s="46"/>
      <c r="P170" s="46"/>
      <c r="Q170" s="46"/>
      <c r="R170" s="46"/>
      <c r="S170" s="46"/>
      <c r="T170" s="46"/>
      <c r="U170" s="46"/>
      <c r="V170" s="46"/>
      <c r="W170" s="46"/>
      <c r="X170" s="46"/>
      <c r="Y170" s="46"/>
      <c r="Z170" s="46"/>
      <c r="AA170" s="46"/>
      <c r="AD170" s="46"/>
      <c r="AI170" s="46"/>
    </row>
    <row r="171" spans="1:45">
      <c r="A171" s="23" t="s">
        <v>310</v>
      </c>
      <c r="B171" s="23" t="s">
        <v>308</v>
      </c>
      <c r="D171" s="61" t="s">
        <v>199</v>
      </c>
      <c r="O171" s="46"/>
      <c r="P171" s="47"/>
      <c r="Q171" s="47"/>
      <c r="R171" s="47"/>
      <c r="S171" s="46"/>
      <c r="T171" s="46"/>
      <c r="U171" s="46"/>
      <c r="V171" s="46"/>
      <c r="W171" s="46"/>
      <c r="X171" s="46"/>
      <c r="Y171" s="46"/>
      <c r="Z171" s="46"/>
      <c r="AA171" s="46"/>
      <c r="AD171" s="46"/>
      <c r="AI171" s="46"/>
    </row>
    <row r="172" spans="1:45">
      <c r="A172" s="23" t="s">
        <v>322</v>
      </c>
      <c r="B172" s="23" t="s">
        <v>312</v>
      </c>
      <c r="D172" s="29" t="s">
        <v>200</v>
      </c>
      <c r="O172" s="46"/>
      <c r="P172" s="47"/>
      <c r="Q172" s="47"/>
      <c r="R172" s="47"/>
      <c r="S172" s="46"/>
      <c r="T172" s="46"/>
      <c r="U172" s="46"/>
      <c r="V172" s="46"/>
      <c r="W172" s="46"/>
      <c r="X172" s="46"/>
      <c r="Y172" s="46"/>
      <c r="Z172" s="46"/>
      <c r="AA172" s="46"/>
      <c r="AD172" s="46"/>
      <c r="AI172" s="46"/>
    </row>
    <row r="173" spans="1:45">
      <c r="A173" s="23" t="s">
        <v>329</v>
      </c>
      <c r="B173" s="23" t="s">
        <v>330</v>
      </c>
      <c r="C173" s="23" t="s">
        <v>27</v>
      </c>
      <c r="D173" s="23" t="s">
        <v>323</v>
      </c>
      <c r="F173" s="166">
        <v>0.9</v>
      </c>
      <c r="I173" s="78">
        <v>3.1536000000000002E-2</v>
      </c>
      <c r="J173" s="166">
        <v>0.9</v>
      </c>
      <c r="O173" s="46"/>
      <c r="P173" s="47"/>
      <c r="Q173" s="47"/>
      <c r="R173" s="47"/>
      <c r="S173" s="46"/>
      <c r="T173" s="46"/>
      <c r="U173" s="46"/>
      <c r="V173" s="46"/>
      <c r="W173" s="46"/>
      <c r="X173" s="46"/>
      <c r="Y173" s="46"/>
      <c r="Z173" s="46"/>
      <c r="AA173" s="46"/>
      <c r="AD173" s="46"/>
      <c r="AI173" s="46"/>
    </row>
    <row r="174" spans="1:45">
      <c r="C174" s="23" t="s">
        <v>380</v>
      </c>
      <c r="F174" s="166">
        <v>0.85</v>
      </c>
      <c r="O174" s="46"/>
      <c r="P174" s="47"/>
      <c r="Q174" s="47"/>
      <c r="R174" s="47"/>
      <c r="S174" s="46"/>
      <c r="T174" s="46"/>
      <c r="U174" s="46"/>
      <c r="V174" s="46"/>
      <c r="W174" s="46"/>
      <c r="X174" s="46"/>
      <c r="Y174" s="46"/>
      <c r="Z174" s="46"/>
      <c r="AA174" s="46"/>
      <c r="AD174" s="46"/>
      <c r="AI174" s="46"/>
    </row>
    <row r="175" spans="1:45">
      <c r="C175" s="23" t="s">
        <v>430</v>
      </c>
      <c r="F175" s="166">
        <v>0.8</v>
      </c>
      <c r="N175" s="47"/>
      <c r="O175" s="47"/>
      <c r="P175" s="47"/>
      <c r="Q175" s="46"/>
      <c r="R175" s="46"/>
      <c r="S175" s="46"/>
      <c r="T175" s="46"/>
      <c r="U175" s="46"/>
      <c r="V175" s="46"/>
      <c r="W175" s="46"/>
      <c r="X175" s="46"/>
      <c r="Y175" s="46"/>
      <c r="Z175" s="46"/>
      <c r="AA175" s="46"/>
      <c r="AD175" s="46"/>
      <c r="AI175" s="46"/>
    </row>
    <row r="176" spans="1:45">
      <c r="A176" s="46"/>
      <c r="B176" s="98"/>
      <c r="C176" s="23" t="s">
        <v>381</v>
      </c>
      <c r="F176" s="166">
        <f>F174</f>
        <v>0.85</v>
      </c>
      <c r="W176" s="46"/>
      <c r="Z176" s="46"/>
      <c r="AA176" s="47"/>
      <c r="AB176" s="47"/>
      <c r="AC176" s="47"/>
      <c r="AI176" s="46"/>
    </row>
    <row r="177" spans="1:35">
      <c r="A177" s="46"/>
      <c r="B177" s="98"/>
      <c r="C177" s="23" t="s">
        <v>35</v>
      </c>
      <c r="F177" s="166">
        <f>F174</f>
        <v>0.85</v>
      </c>
      <c r="W177" s="46"/>
      <c r="AA177" s="46"/>
      <c r="AB177" s="47"/>
      <c r="AC177" s="47"/>
      <c r="AE177" s="47"/>
      <c r="AI177" s="46"/>
    </row>
    <row r="178" spans="1:35">
      <c r="W178" s="46"/>
      <c r="AA178" s="46"/>
      <c r="AB178" s="47"/>
      <c r="AC178" s="47"/>
      <c r="AE178" s="47"/>
      <c r="AI178" s="46"/>
    </row>
    <row r="179" spans="1:35">
      <c r="W179" s="46"/>
      <c r="AA179" s="46"/>
      <c r="AB179" s="47"/>
      <c r="AC179" s="47"/>
      <c r="AE179" s="47"/>
      <c r="AI179" s="46"/>
    </row>
    <row r="180" spans="1:35">
      <c r="W180" s="46"/>
      <c r="AA180" s="46"/>
      <c r="AB180" s="47"/>
      <c r="AC180" s="47"/>
      <c r="AE180" s="47"/>
      <c r="AI180" s="46"/>
    </row>
    <row r="181" spans="1:35">
      <c r="W181" s="46"/>
      <c r="AA181" s="46"/>
      <c r="AB181" s="47"/>
      <c r="AC181" s="47"/>
      <c r="AE181" s="47"/>
      <c r="AI181" s="46"/>
    </row>
    <row r="182" spans="1:35">
      <c r="X182" s="46"/>
      <c r="Y182" s="46"/>
      <c r="AA182" s="46"/>
      <c r="AB182" s="47"/>
      <c r="AC182" s="47"/>
      <c r="AE182" s="47"/>
      <c r="AI182" s="46"/>
    </row>
    <row r="183" spans="1:35">
      <c r="X183" s="46"/>
      <c r="Y183" s="46"/>
      <c r="AA183" s="46"/>
      <c r="AB183" s="47"/>
      <c r="AC183" s="47"/>
      <c r="AE183" s="47"/>
      <c r="AI183" s="46"/>
    </row>
    <row r="184" spans="1:35">
      <c r="X184" s="46"/>
      <c r="Y184" s="46"/>
      <c r="AA184" s="46"/>
      <c r="AB184" s="47"/>
      <c r="AC184" s="47"/>
      <c r="AE184" s="47"/>
      <c r="AI184" s="46"/>
    </row>
    <row r="185" spans="1:35">
      <c r="X185" s="46"/>
      <c r="Y185" s="46"/>
      <c r="AA185" s="46"/>
      <c r="AB185" s="47"/>
      <c r="AC185" s="47"/>
      <c r="AE185" s="47"/>
      <c r="AI185" s="46"/>
    </row>
    <row r="186" spans="1:35">
      <c r="X186" s="46"/>
      <c r="Y186" s="46"/>
      <c r="AA186" s="46"/>
      <c r="AB186" s="47"/>
      <c r="AC186" s="47"/>
      <c r="AE186" s="47"/>
      <c r="AI186" s="46"/>
    </row>
    <row r="187" spans="1:35">
      <c r="X187" s="46"/>
      <c r="Y187" s="46"/>
      <c r="AA187" s="46"/>
      <c r="AB187" s="47"/>
      <c r="AC187" s="47"/>
      <c r="AE187" s="47"/>
      <c r="AI187" s="46"/>
    </row>
    <row r="188" spans="1:35">
      <c r="X188" s="46"/>
      <c r="Y188" s="46"/>
      <c r="AA188" s="46"/>
      <c r="AB188" s="47"/>
      <c r="AC188" s="47"/>
      <c r="AE188" s="47"/>
      <c r="AI188" s="46"/>
    </row>
    <row r="189" spans="1:35">
      <c r="R189" s="271"/>
      <c r="S189" s="271"/>
      <c r="T189" s="271"/>
      <c r="X189" s="46"/>
      <c r="Y189" s="46"/>
      <c r="AA189" s="46"/>
      <c r="AB189" s="47"/>
      <c r="AC189" s="47"/>
      <c r="AE189" s="47"/>
      <c r="AI189" s="46"/>
    </row>
    <row r="190" spans="1:35">
      <c r="Q190" s="271"/>
      <c r="R190" s="271"/>
      <c r="S190" s="271"/>
      <c r="T190" s="271"/>
      <c r="X190" s="46"/>
      <c r="Y190" s="46"/>
      <c r="AA190" s="46"/>
      <c r="AB190" s="47"/>
      <c r="AC190" s="47"/>
      <c r="AE190" s="47"/>
      <c r="AI190" s="46"/>
    </row>
    <row r="191" spans="1:35">
      <c r="M191" s="46"/>
      <c r="N191" s="46"/>
      <c r="O191" s="46"/>
      <c r="P191" s="46"/>
      <c r="Q191" s="271"/>
      <c r="R191" s="271"/>
      <c r="S191" s="271"/>
      <c r="T191" s="271"/>
      <c r="X191" s="46"/>
      <c r="Y191" s="46"/>
      <c r="AA191" s="46"/>
      <c r="AB191" s="47"/>
      <c r="AC191" s="47"/>
      <c r="AE191" s="47"/>
      <c r="AI191" s="46"/>
    </row>
    <row r="192" spans="1:35">
      <c r="Q192" s="271"/>
      <c r="R192" s="271"/>
      <c r="S192" s="271"/>
      <c r="T192" s="271"/>
      <c r="X192" s="46"/>
      <c r="Z192" s="46"/>
      <c r="AA192" s="47"/>
      <c r="AB192" s="47"/>
      <c r="AC192" s="47"/>
      <c r="AI192" s="46"/>
    </row>
    <row r="193" spans="14:35">
      <c r="Q193" s="271"/>
      <c r="R193" s="271"/>
      <c r="S193" s="271"/>
      <c r="T193" s="271"/>
      <c r="Y193" s="46"/>
      <c r="AA193" s="46"/>
      <c r="AB193" s="47"/>
      <c r="AC193" s="47"/>
      <c r="AI193" s="46"/>
    </row>
    <row r="194" spans="14:35">
      <c r="Y194" s="46"/>
      <c r="AA194" s="46"/>
      <c r="AB194" s="47"/>
      <c r="AC194" s="47"/>
      <c r="AI194" s="46"/>
    </row>
    <row r="195" spans="14:35">
      <c r="N195" s="46"/>
      <c r="Y195" s="46"/>
      <c r="AA195" s="46"/>
      <c r="AB195" s="47"/>
      <c r="AC195" s="47"/>
      <c r="AI195" s="46"/>
    </row>
    <row r="196" spans="14:35">
      <c r="Q196" s="146"/>
      <c r="R196" s="145"/>
      <c r="S196" s="145"/>
      <c r="Y196" s="46"/>
      <c r="AA196" s="46"/>
      <c r="AB196" s="47"/>
      <c r="AC196" s="47"/>
      <c r="AI196" s="46"/>
    </row>
    <row r="197" spans="14:35">
      <c r="O197" s="145"/>
      <c r="P197" s="145"/>
      <c r="Q197" s="145"/>
      <c r="R197" s="145"/>
      <c r="S197" s="145"/>
      <c r="Y197" s="46"/>
      <c r="AA197" s="46"/>
      <c r="AB197" s="47"/>
      <c r="AC197" s="47"/>
      <c r="AI197" s="46"/>
    </row>
    <row r="198" spans="14:35">
      <c r="N198" s="145"/>
      <c r="O198" s="145"/>
      <c r="P198" s="145"/>
      <c r="Q198" s="145"/>
      <c r="R198" s="145"/>
      <c r="S198" s="145"/>
      <c r="Y198" s="46"/>
      <c r="AA198" s="46"/>
      <c r="AB198" s="47"/>
      <c r="AC198" s="47"/>
      <c r="AI198" s="46"/>
    </row>
    <row r="199" spans="14:35">
      <c r="N199" s="145"/>
      <c r="O199" s="145"/>
      <c r="P199" s="145"/>
      <c r="Q199" s="145"/>
      <c r="R199" s="145"/>
      <c r="S199" s="145"/>
      <c r="Y199" s="46"/>
      <c r="AA199" s="46"/>
      <c r="AB199" s="47"/>
      <c r="AC199" s="47"/>
      <c r="AI199" s="46"/>
    </row>
    <row r="200" spans="14:35">
      <c r="N200" s="145"/>
      <c r="O200" s="145"/>
      <c r="P200" s="145"/>
      <c r="Q200" s="145"/>
      <c r="R200" s="145"/>
      <c r="S200" s="145"/>
      <c r="Y200" s="46"/>
      <c r="AA200" s="46"/>
      <c r="AB200" s="47"/>
      <c r="AC200" s="47"/>
      <c r="AI200" s="46"/>
    </row>
    <row r="201" spans="14:35">
      <c r="N201" s="145"/>
      <c r="O201" s="145"/>
      <c r="P201" s="145"/>
      <c r="Q201" s="145"/>
      <c r="R201" s="145"/>
      <c r="S201" s="145"/>
      <c r="Y201" s="46"/>
      <c r="AA201" s="46"/>
      <c r="AB201" s="47"/>
      <c r="AC201" s="47"/>
      <c r="AI201" s="46"/>
    </row>
    <row r="202" spans="14:35">
      <c r="N202" s="145"/>
      <c r="O202" s="145"/>
      <c r="P202" s="145"/>
      <c r="Q202" s="145"/>
      <c r="R202" s="145"/>
      <c r="S202" s="145"/>
      <c r="Y202" s="46"/>
      <c r="AA202" s="46"/>
      <c r="AB202" s="47"/>
      <c r="AC202" s="47"/>
      <c r="AI202" s="46"/>
    </row>
    <row r="203" spans="14:35">
      <c r="Y203" s="46"/>
      <c r="AA203" s="46"/>
      <c r="AB203" s="47"/>
      <c r="AC203" s="47"/>
      <c r="AI203" s="46"/>
    </row>
    <row r="204" spans="14:35">
      <c r="Y204" s="46"/>
      <c r="AA204" s="46"/>
      <c r="AB204" s="47"/>
      <c r="AC204" s="47"/>
      <c r="AI204" s="46"/>
    </row>
    <row r="205" spans="14:35">
      <c r="Y205" s="46"/>
      <c r="AA205" s="46"/>
      <c r="AB205" s="47"/>
      <c r="AC205" s="47"/>
      <c r="AI205" s="46"/>
    </row>
    <row r="206" spans="14:35">
      <c r="Y206" s="46"/>
      <c r="AA206" s="46"/>
      <c r="AB206" s="47"/>
      <c r="AC206" s="47"/>
      <c r="AI206" s="46"/>
    </row>
    <row r="207" spans="14:35">
      <c r="Y207" s="46"/>
      <c r="AA207" s="46"/>
      <c r="AB207" s="47"/>
      <c r="AC207" s="47"/>
      <c r="AI207" s="46"/>
    </row>
    <row r="208" spans="14:35">
      <c r="Y208" s="46"/>
      <c r="AA208" s="46"/>
      <c r="AB208" s="47"/>
      <c r="AC208" s="47"/>
      <c r="AI208" s="46"/>
    </row>
    <row r="209" spans="25:35">
      <c r="Y209" s="46"/>
      <c r="AA209" s="46"/>
      <c r="AB209" s="47"/>
      <c r="AC209" s="47"/>
      <c r="AI209" s="46"/>
    </row>
    <row r="210" spans="25:35">
      <c r="Y210" s="46"/>
      <c r="AA210" s="46"/>
      <c r="AB210" s="302"/>
      <c r="AC210" s="302"/>
      <c r="AD210" s="302"/>
      <c r="AI210" s="46"/>
    </row>
    <row r="211" spans="25:35">
      <c r="Y211" s="46"/>
      <c r="AA211" s="46"/>
      <c r="AB211" s="302"/>
      <c r="AC211" s="302"/>
      <c r="AD211" s="302"/>
      <c r="AI211" s="46"/>
    </row>
    <row r="212" spans="25:35">
      <c r="Y212" s="46"/>
      <c r="AA212" s="46"/>
      <c r="AB212" s="47"/>
      <c r="AC212" s="47"/>
      <c r="AI212" s="46"/>
    </row>
    <row r="213" spans="25:35">
      <c r="Y213" s="46"/>
      <c r="AA213" s="46"/>
      <c r="AB213" s="47"/>
      <c r="AC213" s="47"/>
      <c r="AI213" s="46"/>
    </row>
    <row r="214" spans="25:35">
      <c r="Y214" s="46"/>
      <c r="AA214" s="46"/>
      <c r="AB214" s="47"/>
      <c r="AC214" s="47"/>
      <c r="AI214" s="46"/>
    </row>
    <row r="215" spans="25:35">
      <c r="Y215" s="46"/>
      <c r="AA215" s="46"/>
      <c r="AB215" s="47"/>
      <c r="AC215" s="47"/>
      <c r="AI215" s="46"/>
    </row>
    <row r="216" spans="25:35">
      <c r="Y216" s="46"/>
      <c r="AA216" s="46"/>
      <c r="AB216" s="47"/>
      <c r="AC216" s="47"/>
      <c r="AI216" s="46"/>
    </row>
    <row r="217" spans="25:35">
      <c r="Y217" s="46"/>
      <c r="AA217" s="46"/>
      <c r="AB217" s="47"/>
      <c r="AC217" s="47"/>
      <c r="AI217" s="46"/>
    </row>
    <row r="218" spans="25:35">
      <c r="Y218" s="46"/>
      <c r="AA218" s="46"/>
      <c r="AB218" s="47"/>
      <c r="AC218" s="47"/>
      <c r="AI218" s="46"/>
    </row>
    <row r="219" spans="25:35">
      <c r="Y219" s="46"/>
      <c r="AA219" s="46"/>
      <c r="AB219" s="47"/>
      <c r="AC219" s="47"/>
      <c r="AI219" s="46"/>
    </row>
    <row r="220" spans="25:35">
      <c r="Y220" s="46"/>
      <c r="AA220" s="46"/>
      <c r="AB220" s="47"/>
      <c r="AC220" s="47"/>
      <c r="AI220" s="46"/>
    </row>
    <row r="221" spans="25:35">
      <c r="Y221" s="46"/>
      <c r="AA221" s="46"/>
      <c r="AB221" s="47"/>
      <c r="AC221" s="47"/>
      <c r="AI221" s="46"/>
    </row>
    <row r="222" spans="25:35">
      <c r="Y222" s="46"/>
      <c r="AA222" s="46"/>
      <c r="AB222" s="47"/>
      <c r="AC222" s="47"/>
      <c r="AI222" s="46"/>
    </row>
    <row r="223" spans="25:35">
      <c r="Y223" s="46"/>
      <c r="AA223" s="46"/>
      <c r="AB223" s="47"/>
      <c r="AC223" s="47"/>
      <c r="AI223" s="46"/>
    </row>
    <row r="224" spans="25:35">
      <c r="Y224" s="46"/>
      <c r="AA224" s="46"/>
      <c r="AB224" s="47"/>
      <c r="AC224" s="47"/>
      <c r="AI224" s="46"/>
    </row>
    <row r="225" spans="1:35">
      <c r="Y225" s="46"/>
      <c r="AA225" s="46"/>
      <c r="AB225" s="302"/>
      <c r="AC225" s="302"/>
      <c r="AD225" s="302"/>
      <c r="AI225" s="46"/>
    </row>
    <row r="226" spans="1:35">
      <c r="A226" s="46"/>
      <c r="B226" s="46"/>
      <c r="C226" s="46"/>
      <c r="D226" s="46"/>
      <c r="E226" s="46"/>
      <c r="F226" s="46"/>
      <c r="G226" s="46"/>
      <c r="H226" s="46"/>
      <c r="I226" s="46"/>
      <c r="Y226" s="46"/>
      <c r="AA226" s="46"/>
      <c r="AB226" s="47"/>
      <c r="AC226" s="47"/>
      <c r="AI226" s="46"/>
    </row>
    <row r="227" spans="1:35">
      <c r="A227" s="46"/>
      <c r="B227" s="46"/>
      <c r="C227" s="46"/>
      <c r="D227" s="46"/>
      <c r="E227" s="46"/>
      <c r="F227" s="46"/>
      <c r="G227" s="46"/>
      <c r="H227" s="46"/>
      <c r="I227" s="46"/>
      <c r="Y227" s="46"/>
      <c r="AA227" s="46"/>
      <c r="AB227" s="47"/>
      <c r="AC227" s="47"/>
      <c r="AI227" s="46"/>
    </row>
    <row r="228" spans="1:35">
      <c r="A228" s="46"/>
      <c r="B228" s="46"/>
      <c r="C228" s="46"/>
      <c r="D228" s="46"/>
      <c r="E228" s="46"/>
      <c r="F228" s="46"/>
      <c r="G228" s="46"/>
      <c r="H228" s="46"/>
      <c r="I228" s="46"/>
      <c r="Y228" s="46"/>
      <c r="AA228" s="46"/>
      <c r="AB228" s="47"/>
      <c r="AC228" s="47"/>
      <c r="AI228" s="46"/>
    </row>
    <row r="229" spans="1:35">
      <c r="A229" s="46"/>
      <c r="B229" s="46"/>
      <c r="C229" s="46"/>
      <c r="D229" s="46"/>
      <c r="E229" s="46"/>
      <c r="F229" s="46"/>
      <c r="G229" s="46"/>
      <c r="H229" s="46"/>
      <c r="I229" s="46"/>
      <c r="Y229" s="46"/>
      <c r="AA229" s="46"/>
      <c r="AB229" s="47"/>
      <c r="AC229" s="47"/>
      <c r="AI229" s="46"/>
    </row>
    <row r="230" spans="1:35">
      <c r="A230" s="46"/>
      <c r="B230" s="46"/>
      <c r="C230" s="46"/>
      <c r="D230" s="46"/>
      <c r="E230" s="46"/>
      <c r="F230" s="46"/>
      <c r="G230" s="46"/>
      <c r="H230" s="46"/>
      <c r="I230" s="46"/>
      <c r="Y230" s="46"/>
      <c r="AA230" s="46"/>
      <c r="AB230" s="47"/>
      <c r="AC230" s="47"/>
      <c r="AI230" s="46"/>
    </row>
    <row r="231" spans="1:35">
      <c r="A231" s="46"/>
      <c r="B231" s="46"/>
      <c r="C231" s="46"/>
      <c r="D231" s="46"/>
      <c r="E231" s="46"/>
      <c r="F231" s="46"/>
      <c r="G231" s="46"/>
      <c r="H231" s="46"/>
      <c r="I231" s="46"/>
      <c r="Y231" s="46"/>
      <c r="AA231" s="46"/>
      <c r="AB231" s="47"/>
      <c r="AC231" s="47"/>
      <c r="AI231" s="46"/>
    </row>
    <row r="232" spans="1:35">
      <c r="A232" s="46"/>
      <c r="B232" s="46"/>
      <c r="C232" s="46"/>
      <c r="D232" s="46"/>
      <c r="E232" s="46"/>
      <c r="F232" s="46"/>
      <c r="G232" s="46"/>
      <c r="H232" s="46"/>
      <c r="I232" s="46"/>
      <c r="Y232" s="46"/>
      <c r="AA232" s="46"/>
      <c r="AB232" s="47"/>
      <c r="AC232" s="47"/>
      <c r="AI232" s="46"/>
    </row>
    <row r="233" spans="1:35">
      <c r="A233" s="46"/>
      <c r="B233" s="46"/>
      <c r="C233" s="46"/>
      <c r="D233" s="46"/>
      <c r="E233" s="46"/>
      <c r="F233" s="46"/>
      <c r="G233" s="46"/>
      <c r="H233" s="46"/>
      <c r="I233" s="46"/>
      <c r="Y233" s="46"/>
      <c r="AA233" s="46"/>
      <c r="AB233" s="47"/>
      <c r="AC233" s="47"/>
      <c r="AI233" s="46"/>
    </row>
    <row r="234" spans="1:35">
      <c r="A234" s="46"/>
      <c r="B234" s="46"/>
      <c r="C234" s="46"/>
      <c r="D234" s="46"/>
      <c r="E234" s="46"/>
      <c r="F234" s="46"/>
      <c r="G234" s="46"/>
      <c r="H234" s="46"/>
      <c r="I234" s="46"/>
      <c r="Y234" s="46"/>
      <c r="AA234" s="46"/>
      <c r="AB234" s="47"/>
      <c r="AC234" s="47"/>
      <c r="AI234" s="46"/>
    </row>
    <row r="235" spans="1:35">
      <c r="A235" s="46"/>
      <c r="B235" s="46"/>
      <c r="C235" s="46"/>
      <c r="D235" s="46"/>
      <c r="E235" s="46"/>
      <c r="F235" s="46"/>
      <c r="G235" s="46"/>
      <c r="H235" s="46"/>
      <c r="I235" s="46"/>
      <c r="Y235" s="46"/>
      <c r="AA235" s="46"/>
      <c r="AB235" s="47"/>
      <c r="AC235" s="47"/>
      <c r="AI235" s="46"/>
    </row>
    <row r="236" spans="1:35">
      <c r="A236" s="46"/>
      <c r="B236" s="46"/>
      <c r="C236" s="46"/>
      <c r="D236" s="46"/>
      <c r="E236" s="46"/>
      <c r="F236" s="46"/>
      <c r="G236" s="46"/>
      <c r="H236" s="46"/>
      <c r="I236" s="46"/>
      <c r="Y236" s="46"/>
      <c r="AA236" s="46"/>
      <c r="AB236" s="47"/>
      <c r="AC236" s="47"/>
      <c r="AI236" s="46"/>
    </row>
    <row r="237" spans="1:35">
      <c r="A237" s="46"/>
      <c r="B237" s="46"/>
      <c r="C237" s="46"/>
      <c r="D237" s="46"/>
      <c r="E237" s="46"/>
      <c r="F237" s="46"/>
      <c r="G237" s="46"/>
      <c r="H237" s="46"/>
      <c r="I237" s="46"/>
      <c r="Y237" s="46"/>
      <c r="AA237" s="46"/>
      <c r="AB237" s="47"/>
      <c r="AC237" s="47"/>
      <c r="AI237" s="46"/>
    </row>
    <row r="238" spans="1:35">
      <c r="A238" s="46"/>
      <c r="B238" s="46"/>
      <c r="C238" s="46"/>
      <c r="D238" s="46"/>
      <c r="E238" s="46"/>
      <c r="F238" s="46"/>
      <c r="G238" s="46"/>
      <c r="H238" s="46"/>
      <c r="I238" s="46"/>
      <c r="Y238" s="46"/>
      <c r="AA238" s="46"/>
      <c r="AB238" s="47"/>
      <c r="AC238" s="47"/>
      <c r="AI238" s="46"/>
    </row>
    <row r="239" spans="1:35">
      <c r="A239" s="46"/>
      <c r="B239" s="46"/>
      <c r="C239" s="46"/>
      <c r="D239" s="46"/>
      <c r="E239" s="46"/>
      <c r="F239" s="46"/>
      <c r="G239" s="46"/>
      <c r="H239" s="46"/>
      <c r="I239" s="46"/>
      <c r="Y239" s="46"/>
      <c r="AA239" s="46"/>
      <c r="AB239" s="47"/>
      <c r="AC239" s="47"/>
      <c r="AI239" s="46"/>
    </row>
    <row r="240" spans="1:35">
      <c r="A240" s="46"/>
      <c r="B240" s="46"/>
      <c r="C240" s="46"/>
      <c r="D240" s="46"/>
      <c r="E240" s="46"/>
      <c r="F240" s="46"/>
      <c r="G240" s="46"/>
      <c r="H240" s="46"/>
      <c r="I240" s="46"/>
      <c r="Y240" s="46"/>
      <c r="AA240" s="46"/>
      <c r="AB240" s="47"/>
      <c r="AC240" s="47"/>
      <c r="AI240" s="46"/>
    </row>
    <row r="241" spans="1:36">
      <c r="A241" s="46"/>
      <c r="B241" s="46"/>
      <c r="C241" s="46"/>
      <c r="D241" s="46"/>
      <c r="E241" s="46"/>
      <c r="F241" s="46"/>
      <c r="G241" s="46"/>
      <c r="H241" s="46"/>
      <c r="I241" s="46"/>
      <c r="Y241" s="46"/>
      <c r="AA241" s="46"/>
      <c r="AB241" s="47"/>
      <c r="AC241" s="47"/>
      <c r="AI241" s="46"/>
    </row>
    <row r="242" spans="1:36">
      <c r="A242" s="145"/>
      <c r="B242" s="145"/>
      <c r="C242" s="145"/>
      <c r="D242" s="145"/>
      <c r="E242" s="145"/>
      <c r="F242" s="145"/>
      <c r="G242" s="145"/>
      <c r="H242" s="145"/>
      <c r="I242" s="145"/>
      <c r="Y242" s="46"/>
      <c r="AA242" s="46"/>
      <c r="AB242" s="47"/>
      <c r="AC242" s="47"/>
      <c r="AI242" s="46"/>
    </row>
    <row r="243" spans="1:36">
      <c r="Y243" s="46"/>
      <c r="AA243" s="46"/>
      <c r="AB243" s="47"/>
      <c r="AC243" s="47"/>
      <c r="AI243" s="46"/>
    </row>
    <row r="244" spans="1:36">
      <c r="A244" s="46"/>
    </row>
    <row r="245" spans="1:36">
      <c r="A245" s="46"/>
    </row>
    <row r="247" spans="1:36">
      <c r="A247" s="46"/>
      <c r="B247" s="46"/>
      <c r="C247" s="46"/>
      <c r="D247" s="46"/>
      <c r="E247" s="46"/>
      <c r="F247" s="46"/>
      <c r="G247" s="46"/>
      <c r="H247" s="46"/>
      <c r="I247" s="46"/>
    </row>
    <row r="248" spans="1:36">
      <c r="A248" s="46"/>
      <c r="B248" s="46"/>
      <c r="C248" s="46"/>
      <c r="D248" s="46"/>
      <c r="E248" s="46"/>
      <c r="F248" s="46"/>
      <c r="G248" s="46"/>
      <c r="H248" s="46"/>
      <c r="I248" s="46"/>
    </row>
    <row r="249" spans="1:36">
      <c r="A249" s="46"/>
      <c r="B249" s="46"/>
      <c r="C249" s="46"/>
      <c r="D249" s="46"/>
      <c r="E249" s="46"/>
      <c r="F249" s="46"/>
      <c r="G249" s="46"/>
      <c r="H249" s="46"/>
      <c r="I249" s="46"/>
      <c r="J249" s="46"/>
      <c r="Z249" s="46"/>
      <c r="AB249" s="23"/>
      <c r="AC249" s="23"/>
      <c r="AD249" s="46"/>
      <c r="AJ249" s="47"/>
    </row>
    <row r="250" spans="1:36">
      <c r="A250" s="46"/>
      <c r="B250" s="46"/>
      <c r="C250" s="46"/>
      <c r="D250" s="46"/>
      <c r="E250" s="46"/>
      <c r="F250" s="46"/>
      <c r="G250" s="46"/>
      <c r="H250" s="46"/>
      <c r="I250" s="46"/>
      <c r="J250" s="46"/>
      <c r="Z250" s="46"/>
      <c r="AB250" s="23"/>
      <c r="AC250" s="23"/>
      <c r="AD250" s="46"/>
      <c r="AJ250" s="47"/>
    </row>
    <row r="251" spans="1:36">
      <c r="A251" s="46"/>
      <c r="B251" s="46"/>
      <c r="C251" s="46"/>
      <c r="D251" s="46"/>
      <c r="E251" s="46"/>
      <c r="F251" s="46"/>
      <c r="G251" s="46"/>
      <c r="H251" s="46"/>
      <c r="I251" s="46"/>
      <c r="J251" s="46"/>
      <c r="Z251" s="46"/>
      <c r="AB251" s="23"/>
      <c r="AC251" s="23"/>
      <c r="AD251" s="46"/>
      <c r="AJ251" s="47"/>
    </row>
    <row r="252" spans="1:36">
      <c r="A252" s="46"/>
      <c r="B252" s="46"/>
      <c r="C252" s="46"/>
      <c r="D252" s="46"/>
      <c r="E252" s="46"/>
      <c r="F252" s="46"/>
      <c r="G252" s="46"/>
      <c r="H252" s="46"/>
      <c r="I252" s="46"/>
      <c r="J252" s="46"/>
      <c r="Z252" s="46"/>
      <c r="AB252" s="23"/>
      <c r="AC252" s="23"/>
      <c r="AD252" s="46"/>
      <c r="AJ252" s="47"/>
    </row>
    <row r="253" spans="1:36">
      <c r="A253" s="46"/>
      <c r="B253" s="46"/>
      <c r="C253" s="46"/>
      <c r="D253" s="46"/>
      <c r="E253" s="46"/>
      <c r="F253" s="46"/>
      <c r="G253" s="46"/>
      <c r="H253" s="46"/>
      <c r="I253" s="46"/>
      <c r="J253" s="46"/>
      <c r="Z253" s="46"/>
      <c r="AB253" s="23"/>
      <c r="AC253" s="23"/>
      <c r="AD253" s="46"/>
      <c r="AJ253" s="47"/>
    </row>
    <row r="254" spans="1:36">
      <c r="A254" s="46"/>
      <c r="B254" s="46"/>
      <c r="C254" s="46"/>
      <c r="D254" s="46"/>
      <c r="E254" s="46"/>
      <c r="F254" s="46"/>
      <c r="G254" s="46"/>
      <c r="H254" s="46"/>
      <c r="I254" s="46"/>
      <c r="J254" s="46"/>
      <c r="Z254" s="46"/>
      <c r="AB254" s="23"/>
      <c r="AC254" s="23"/>
      <c r="AD254" s="46"/>
      <c r="AJ254" s="47"/>
    </row>
    <row r="255" spans="1:36">
      <c r="A255" s="46"/>
      <c r="B255" s="46"/>
      <c r="C255" s="46"/>
      <c r="D255" s="46"/>
      <c r="E255" s="46"/>
      <c r="F255" s="46"/>
      <c r="G255" s="46"/>
      <c r="H255" s="46"/>
      <c r="I255" s="46"/>
      <c r="J255" s="46"/>
      <c r="Z255" s="46"/>
      <c r="AB255" s="23"/>
      <c r="AC255" s="23"/>
      <c r="AD255" s="46"/>
      <c r="AJ255" s="47"/>
    </row>
    <row r="256" spans="1:36">
      <c r="A256" s="46"/>
      <c r="B256" s="46"/>
      <c r="C256" s="46"/>
      <c r="D256" s="46"/>
      <c r="E256" s="46"/>
      <c r="F256" s="46"/>
      <c r="G256" s="46"/>
      <c r="H256" s="46"/>
      <c r="I256" s="46"/>
      <c r="J256" s="46"/>
      <c r="Z256" s="46"/>
      <c r="AB256" s="23"/>
      <c r="AC256" s="23"/>
      <c r="AD256" s="46"/>
      <c r="AJ256" s="47"/>
    </row>
    <row r="257" spans="1:36">
      <c r="A257" s="46"/>
      <c r="B257" s="46"/>
      <c r="C257" s="46"/>
      <c r="D257" s="46"/>
      <c r="E257" s="46"/>
      <c r="F257" s="46"/>
      <c r="G257" s="46"/>
      <c r="H257" s="46"/>
      <c r="I257" s="46"/>
      <c r="J257" s="46"/>
      <c r="Z257" s="46"/>
      <c r="AB257" s="23"/>
      <c r="AC257" s="23"/>
      <c r="AD257" s="46"/>
      <c r="AJ257" s="47"/>
    </row>
    <row r="258" spans="1:36">
      <c r="A258" s="46"/>
      <c r="B258" s="46"/>
      <c r="C258" s="46"/>
      <c r="D258" s="46"/>
      <c r="E258" s="46"/>
      <c r="F258" s="46"/>
      <c r="G258" s="46"/>
      <c r="H258" s="46"/>
      <c r="I258" s="46"/>
      <c r="J258" s="46"/>
      <c r="Z258" s="46"/>
      <c r="AB258" s="23"/>
      <c r="AC258" s="23"/>
      <c r="AD258" s="46"/>
      <c r="AJ258" s="47"/>
    </row>
    <row r="259" spans="1:36">
      <c r="A259" s="46"/>
      <c r="B259" s="46"/>
      <c r="C259" s="46"/>
      <c r="D259" s="46"/>
      <c r="E259" s="46"/>
      <c r="F259" s="46"/>
      <c r="G259" s="46"/>
      <c r="H259" s="46"/>
      <c r="I259" s="46"/>
      <c r="J259" s="46"/>
      <c r="Z259" s="46"/>
      <c r="AB259" s="23"/>
      <c r="AC259" s="23"/>
      <c r="AD259" s="46"/>
      <c r="AJ259" s="47"/>
    </row>
    <row r="260" spans="1:36">
      <c r="A260" s="46"/>
      <c r="B260" s="46"/>
      <c r="C260" s="46"/>
      <c r="D260" s="46"/>
      <c r="E260" s="46"/>
      <c r="F260" s="46"/>
      <c r="G260" s="46"/>
      <c r="H260" s="46"/>
      <c r="I260" s="46"/>
      <c r="J260" s="46"/>
      <c r="Z260" s="46"/>
      <c r="AB260" s="23"/>
      <c r="AC260" s="23"/>
      <c r="AD260" s="46"/>
      <c r="AJ260" s="47"/>
    </row>
    <row r="261" spans="1:36">
      <c r="A261" s="46"/>
      <c r="B261" s="46"/>
      <c r="C261" s="46"/>
      <c r="D261" s="46"/>
      <c r="E261" s="46"/>
      <c r="F261" s="46"/>
      <c r="G261" s="46"/>
      <c r="H261" s="46"/>
      <c r="I261" s="46"/>
      <c r="J261" s="46"/>
      <c r="Z261" s="46"/>
      <c r="AB261" s="23"/>
      <c r="AC261" s="23"/>
      <c r="AD261" s="46"/>
      <c r="AJ261" s="47"/>
    </row>
    <row r="262" spans="1:36">
      <c r="A262" s="46"/>
      <c r="B262" s="46"/>
      <c r="C262" s="46"/>
      <c r="D262" s="46"/>
      <c r="E262" s="46"/>
      <c r="F262" s="46"/>
      <c r="G262" s="46"/>
      <c r="H262" s="46"/>
      <c r="I262" s="46"/>
      <c r="J262" s="46"/>
      <c r="Z262" s="46"/>
      <c r="AB262" s="23"/>
      <c r="AC262" s="23"/>
      <c r="AD262" s="46"/>
      <c r="AJ262" s="47"/>
    </row>
    <row r="263" spans="1:36">
      <c r="A263" s="46"/>
      <c r="B263" s="46"/>
      <c r="C263" s="46"/>
      <c r="D263" s="46"/>
      <c r="E263" s="46"/>
      <c r="F263" s="46"/>
      <c r="G263" s="46"/>
      <c r="H263" s="46"/>
      <c r="I263" s="46"/>
      <c r="J263" s="46"/>
      <c r="Z263" s="46"/>
      <c r="AB263" s="23"/>
      <c r="AC263" s="23"/>
      <c r="AD263" s="46"/>
      <c r="AJ263" s="47"/>
    </row>
    <row r="264" spans="1:36">
      <c r="A264" s="46"/>
      <c r="B264" s="46"/>
      <c r="C264" s="46"/>
      <c r="D264" s="46"/>
      <c r="E264" s="46"/>
      <c r="F264" s="46"/>
      <c r="G264" s="46"/>
      <c r="H264" s="46"/>
      <c r="I264" s="46"/>
      <c r="J264" s="46"/>
      <c r="Z264" s="46"/>
      <c r="AB264" s="23"/>
      <c r="AC264" s="23"/>
      <c r="AD264" s="46"/>
      <c r="AJ264" s="47"/>
    </row>
    <row r="265" spans="1:36">
      <c r="A265" s="46"/>
      <c r="B265" s="46"/>
      <c r="C265" s="46"/>
      <c r="D265" s="46"/>
      <c r="E265" s="46"/>
      <c r="F265" s="46"/>
      <c r="G265" s="46"/>
      <c r="H265" s="46"/>
      <c r="I265" s="46"/>
      <c r="J265" s="46"/>
      <c r="Z265" s="46"/>
      <c r="AB265" s="23"/>
      <c r="AC265" s="23"/>
      <c r="AD265" s="46"/>
      <c r="AJ265" s="47"/>
    </row>
    <row r="266" spans="1:36">
      <c r="A266" s="46"/>
      <c r="B266" s="46"/>
      <c r="C266" s="46"/>
      <c r="D266" s="46"/>
      <c r="E266" s="46"/>
      <c r="F266" s="46"/>
      <c r="G266" s="46"/>
      <c r="H266" s="46"/>
      <c r="I266" s="46"/>
      <c r="J266" s="46"/>
      <c r="Z266" s="46"/>
      <c r="AB266" s="23"/>
      <c r="AC266" s="23"/>
      <c r="AD266" s="46"/>
      <c r="AJ266" s="47"/>
    </row>
    <row r="267" spans="1:36">
      <c r="A267" s="46"/>
      <c r="B267" s="46"/>
      <c r="C267" s="46"/>
      <c r="D267" s="46"/>
      <c r="E267" s="46"/>
      <c r="F267" s="46"/>
      <c r="G267" s="46"/>
      <c r="H267" s="46"/>
      <c r="I267" s="46"/>
      <c r="J267" s="46"/>
      <c r="Z267" s="46"/>
      <c r="AB267" s="23"/>
      <c r="AC267" s="23"/>
      <c r="AD267" s="46"/>
      <c r="AJ267" s="47"/>
    </row>
    <row r="268" spans="1:36">
      <c r="A268" s="46"/>
      <c r="B268" s="46"/>
      <c r="C268" s="46"/>
      <c r="D268" s="46"/>
      <c r="E268" s="46"/>
      <c r="F268" s="46"/>
      <c r="G268" s="46"/>
      <c r="H268" s="46"/>
      <c r="I268" s="46"/>
      <c r="J268" s="46"/>
      <c r="Z268" s="46"/>
      <c r="AB268" s="23"/>
      <c r="AC268" s="23"/>
      <c r="AD268" s="46"/>
      <c r="AJ268" s="47"/>
    </row>
    <row r="269" spans="1:36">
      <c r="A269" s="46"/>
      <c r="B269" s="46"/>
      <c r="C269" s="46"/>
      <c r="D269" s="46"/>
      <c r="E269" s="46"/>
      <c r="F269" s="46"/>
      <c r="G269" s="46"/>
      <c r="H269" s="46"/>
      <c r="I269" s="46"/>
      <c r="J269" s="46"/>
      <c r="Z269" s="46"/>
      <c r="AB269" s="23"/>
      <c r="AC269" s="23"/>
      <c r="AD269" s="46"/>
      <c r="AJ269" s="47"/>
    </row>
    <row r="270" spans="1:36">
      <c r="A270" s="46"/>
      <c r="B270" s="46"/>
      <c r="C270" s="46"/>
      <c r="D270" s="46"/>
      <c r="E270" s="46"/>
      <c r="F270" s="46"/>
      <c r="G270" s="46"/>
      <c r="H270" s="46"/>
      <c r="I270" s="46"/>
      <c r="J270" s="46"/>
      <c r="Z270" s="46"/>
      <c r="AB270" s="23"/>
      <c r="AC270" s="23"/>
      <c r="AD270" s="46"/>
      <c r="AJ270" s="47"/>
    </row>
    <row r="271" spans="1:36">
      <c r="A271" s="46"/>
      <c r="B271" s="46"/>
      <c r="C271" s="46"/>
      <c r="D271" s="46"/>
      <c r="E271" s="46"/>
      <c r="F271" s="46"/>
      <c r="G271" s="46"/>
      <c r="H271" s="46"/>
      <c r="I271" s="46"/>
      <c r="J271" s="46"/>
      <c r="Z271" s="46"/>
      <c r="AB271" s="23"/>
      <c r="AC271" s="23"/>
      <c r="AD271" s="46"/>
      <c r="AJ271" s="47"/>
    </row>
    <row r="272" spans="1:36">
      <c r="A272" s="46"/>
      <c r="B272" s="46"/>
      <c r="C272" s="46"/>
      <c r="D272" s="46"/>
      <c r="E272" s="46"/>
      <c r="F272" s="46"/>
      <c r="G272" s="46"/>
      <c r="H272" s="46"/>
      <c r="I272" s="46"/>
      <c r="J272" s="46"/>
      <c r="Z272" s="46"/>
      <c r="AB272" s="23"/>
      <c r="AC272" s="23"/>
      <c r="AD272" s="46"/>
      <c r="AJ272" s="47"/>
    </row>
    <row r="273" spans="1:36">
      <c r="A273" s="46"/>
      <c r="B273" s="46"/>
      <c r="C273" s="46"/>
      <c r="D273" s="46"/>
      <c r="E273" s="46"/>
      <c r="F273" s="46"/>
      <c r="G273" s="46"/>
      <c r="H273" s="46"/>
      <c r="I273" s="46"/>
      <c r="J273" s="46"/>
      <c r="Z273" s="46"/>
      <c r="AB273" s="23"/>
      <c r="AC273" s="23"/>
      <c r="AD273" s="46"/>
      <c r="AJ273" s="47"/>
    </row>
    <row r="274" spans="1:36">
      <c r="A274" s="46"/>
      <c r="B274" s="46"/>
      <c r="C274" s="46"/>
      <c r="D274" s="46"/>
      <c r="E274" s="46"/>
      <c r="F274" s="46"/>
      <c r="G274" s="46"/>
      <c r="H274" s="46"/>
      <c r="I274" s="46"/>
      <c r="J274" s="46"/>
      <c r="Z274" s="46"/>
      <c r="AB274" s="23"/>
      <c r="AC274" s="23"/>
      <c r="AD274" s="46"/>
      <c r="AJ274" s="47"/>
    </row>
    <row r="275" spans="1:36">
      <c r="A275" s="46"/>
      <c r="B275" s="46"/>
      <c r="C275" s="46"/>
      <c r="D275" s="46"/>
      <c r="E275" s="46"/>
      <c r="F275" s="46"/>
      <c r="G275" s="46"/>
      <c r="H275" s="46"/>
      <c r="I275" s="46"/>
      <c r="J275" s="46"/>
      <c r="Z275" s="46"/>
      <c r="AB275" s="23"/>
      <c r="AC275" s="23"/>
      <c r="AD275" s="46"/>
      <c r="AJ275" s="47"/>
    </row>
    <row r="276" spans="1:36">
      <c r="A276" s="46"/>
      <c r="B276" s="46"/>
      <c r="C276" s="46"/>
      <c r="D276" s="46"/>
      <c r="E276" s="46"/>
      <c r="F276" s="46"/>
      <c r="G276" s="46"/>
      <c r="H276" s="46"/>
      <c r="I276" s="46"/>
      <c r="J276" s="46"/>
      <c r="Z276" s="46"/>
      <c r="AB276" s="23"/>
      <c r="AC276" s="23"/>
      <c r="AD276" s="46"/>
      <c r="AJ276" s="47"/>
    </row>
    <row r="277" spans="1:36">
      <c r="A277" s="46"/>
      <c r="B277" s="46"/>
      <c r="C277" s="46"/>
      <c r="D277" s="46"/>
      <c r="E277" s="46"/>
      <c r="F277" s="46"/>
      <c r="G277" s="46"/>
      <c r="H277" s="46"/>
      <c r="I277" s="46"/>
      <c r="J277" s="46"/>
      <c r="Z277" s="46"/>
      <c r="AB277" s="23"/>
      <c r="AC277" s="23"/>
      <c r="AD277" s="46"/>
      <c r="AJ277" s="47"/>
    </row>
    <row r="278" spans="1:36">
      <c r="A278" s="46"/>
      <c r="B278" s="46"/>
      <c r="C278" s="46"/>
      <c r="D278" s="46"/>
      <c r="E278" s="46"/>
      <c r="F278" s="46"/>
      <c r="G278" s="46"/>
      <c r="H278" s="46"/>
      <c r="I278" s="46"/>
      <c r="J278" s="46"/>
      <c r="Z278" s="46"/>
      <c r="AB278" s="23"/>
      <c r="AC278" s="23"/>
      <c r="AD278" s="46"/>
      <c r="AJ278" s="47"/>
    </row>
    <row r="279" spans="1:36">
      <c r="A279" s="46"/>
      <c r="B279" s="46"/>
      <c r="C279" s="46"/>
      <c r="D279" s="46"/>
      <c r="E279" s="46"/>
      <c r="F279" s="46"/>
      <c r="G279" s="46"/>
      <c r="H279" s="46"/>
      <c r="I279" s="46"/>
      <c r="J279" s="46"/>
      <c r="Z279" s="46"/>
      <c r="AB279" s="23"/>
      <c r="AC279" s="23"/>
      <c r="AD279" s="46"/>
      <c r="AJ279" s="47"/>
    </row>
    <row r="280" spans="1:36">
      <c r="A280" s="46"/>
      <c r="B280" s="46"/>
      <c r="C280" s="46"/>
      <c r="D280" s="46"/>
      <c r="E280" s="46"/>
      <c r="F280" s="46"/>
      <c r="G280" s="46"/>
      <c r="H280" s="46"/>
      <c r="I280" s="46"/>
      <c r="J280" s="46"/>
      <c r="Z280" s="46"/>
      <c r="AB280" s="23"/>
      <c r="AC280" s="23"/>
      <c r="AD280" s="46"/>
      <c r="AJ280" s="47"/>
    </row>
    <row r="281" spans="1:36">
      <c r="A281" s="46"/>
      <c r="B281" s="46"/>
      <c r="C281" s="46"/>
      <c r="D281" s="46"/>
      <c r="E281" s="46"/>
      <c r="F281" s="46"/>
      <c r="G281" s="46"/>
      <c r="H281" s="46"/>
      <c r="I281" s="46"/>
      <c r="J281" s="46"/>
      <c r="Z281" s="46"/>
      <c r="AB281" s="23"/>
      <c r="AC281" s="23"/>
      <c r="AD281" s="46"/>
      <c r="AJ281" s="47"/>
    </row>
    <row r="282" spans="1:36">
      <c r="A282" s="46"/>
      <c r="B282" s="46"/>
      <c r="C282" s="46"/>
      <c r="D282" s="46"/>
      <c r="E282" s="46"/>
      <c r="F282" s="46"/>
      <c r="G282" s="46"/>
      <c r="H282" s="46"/>
      <c r="I282" s="46"/>
      <c r="J282" s="46"/>
      <c r="Z282" s="46"/>
      <c r="AB282" s="23"/>
      <c r="AC282" s="23"/>
      <c r="AD282" s="46"/>
      <c r="AJ282" s="47"/>
    </row>
    <row r="283" spans="1:36">
      <c r="A283" s="46"/>
      <c r="B283" s="46"/>
      <c r="C283" s="46"/>
      <c r="D283" s="46"/>
      <c r="E283" s="46"/>
      <c r="F283" s="46"/>
      <c r="G283" s="46"/>
      <c r="H283" s="46"/>
      <c r="I283" s="46"/>
      <c r="J283" s="46"/>
      <c r="Z283" s="46"/>
      <c r="AB283" s="23"/>
      <c r="AC283" s="23"/>
      <c r="AD283" s="46"/>
      <c r="AJ283" s="47"/>
    </row>
    <row r="284" spans="1:36">
      <c r="A284" s="46"/>
      <c r="B284" s="46"/>
      <c r="C284" s="46"/>
      <c r="D284" s="46"/>
      <c r="E284" s="46"/>
      <c r="F284" s="46"/>
      <c r="G284" s="46"/>
      <c r="H284" s="46"/>
      <c r="I284" s="46"/>
      <c r="J284" s="46"/>
      <c r="Z284" s="46"/>
      <c r="AB284" s="23"/>
      <c r="AC284" s="23"/>
      <c r="AD284" s="46"/>
      <c r="AJ284" s="47"/>
    </row>
    <row r="285" spans="1:36">
      <c r="A285" s="46"/>
      <c r="B285" s="46"/>
      <c r="C285" s="46"/>
      <c r="D285" s="46"/>
      <c r="E285" s="46"/>
      <c r="F285" s="46"/>
      <c r="G285" s="46"/>
      <c r="H285" s="46"/>
      <c r="I285" s="46"/>
      <c r="J285" s="46"/>
      <c r="Z285" s="46"/>
      <c r="AB285" s="23"/>
      <c r="AC285" s="23"/>
      <c r="AD285" s="46"/>
      <c r="AJ285" s="47"/>
    </row>
    <row r="286" spans="1:36">
      <c r="A286" s="46"/>
      <c r="B286" s="46"/>
      <c r="C286" s="46"/>
      <c r="D286" s="46"/>
      <c r="E286" s="46"/>
      <c r="F286" s="46"/>
      <c r="G286" s="46"/>
      <c r="H286" s="46"/>
      <c r="I286" s="46"/>
      <c r="J286" s="46"/>
      <c r="Z286" s="46"/>
      <c r="AB286" s="23"/>
      <c r="AC286" s="23"/>
      <c r="AD286" s="46"/>
      <c r="AJ286" s="47"/>
    </row>
    <row r="287" spans="1:36">
      <c r="A287" s="46"/>
      <c r="B287" s="46"/>
      <c r="C287" s="46"/>
      <c r="D287" s="46"/>
      <c r="E287" s="46"/>
      <c r="F287" s="46"/>
      <c r="G287" s="46"/>
      <c r="H287" s="46"/>
      <c r="I287" s="46"/>
      <c r="J287" s="46"/>
      <c r="Z287" s="46"/>
      <c r="AB287" s="23"/>
      <c r="AC287" s="23"/>
      <c r="AD287" s="46"/>
      <c r="AJ287" s="47"/>
    </row>
    <row r="288" spans="1:36">
      <c r="A288" s="46"/>
      <c r="B288" s="46"/>
      <c r="C288" s="46"/>
      <c r="D288" s="46"/>
      <c r="E288" s="46"/>
      <c r="F288" s="46"/>
      <c r="G288" s="46"/>
      <c r="H288" s="46"/>
      <c r="I288" s="46"/>
      <c r="J288" s="46"/>
      <c r="Z288" s="46"/>
      <c r="AB288" s="23"/>
      <c r="AC288" s="23"/>
      <c r="AD288" s="46"/>
      <c r="AJ288" s="47"/>
    </row>
    <row r="289" spans="1:36">
      <c r="A289" s="46"/>
      <c r="B289" s="46"/>
      <c r="C289" s="46"/>
      <c r="D289" s="46"/>
      <c r="E289" s="46"/>
      <c r="F289" s="46"/>
      <c r="G289" s="46"/>
      <c r="H289" s="46"/>
      <c r="I289" s="46"/>
      <c r="J289" s="46"/>
      <c r="Z289" s="46"/>
      <c r="AB289" s="23"/>
      <c r="AC289" s="23"/>
      <c r="AD289" s="46"/>
      <c r="AJ289" s="47"/>
    </row>
    <row r="290" spans="1:36">
      <c r="A290" s="46"/>
      <c r="B290" s="46"/>
      <c r="C290" s="46"/>
      <c r="D290" s="46"/>
      <c r="E290" s="46"/>
      <c r="F290" s="46"/>
      <c r="G290" s="46"/>
      <c r="H290" s="46"/>
      <c r="I290" s="46"/>
      <c r="J290" s="46"/>
      <c r="Z290" s="46"/>
      <c r="AB290" s="23"/>
      <c r="AC290" s="23"/>
      <c r="AD290" s="46"/>
      <c r="AJ290" s="47"/>
    </row>
    <row r="291" spans="1:36">
      <c r="A291" s="46"/>
      <c r="B291" s="46"/>
      <c r="C291" s="46"/>
      <c r="D291" s="46"/>
      <c r="E291" s="46"/>
      <c r="F291" s="46"/>
      <c r="G291" s="46"/>
      <c r="H291" s="46"/>
      <c r="I291" s="46"/>
      <c r="J291" s="46"/>
      <c r="Z291" s="46"/>
      <c r="AB291" s="23"/>
      <c r="AC291" s="23"/>
      <c r="AD291" s="46"/>
      <c r="AJ291" s="47"/>
    </row>
    <row r="292" spans="1:36">
      <c r="A292" s="46"/>
      <c r="G292" s="74"/>
      <c r="H292" s="74"/>
      <c r="I292" s="74"/>
      <c r="Z292" s="46"/>
      <c r="AB292" s="23"/>
      <c r="AC292" s="23"/>
      <c r="AD292" s="46"/>
      <c r="AJ292" s="47"/>
    </row>
    <row r="293" spans="1:36">
      <c r="A293" s="46"/>
      <c r="G293" s="74"/>
      <c r="H293" s="74"/>
      <c r="I293" s="74"/>
      <c r="Z293" s="46"/>
      <c r="AB293" s="23"/>
      <c r="AC293" s="23"/>
      <c r="AD293" s="46"/>
      <c r="AJ293" s="47"/>
    </row>
    <row r="294" spans="1:36">
      <c r="A294" s="46"/>
      <c r="G294" s="74"/>
      <c r="H294" s="74"/>
      <c r="I294" s="74"/>
      <c r="Z294" s="46"/>
      <c r="AB294" s="23"/>
      <c r="AC294" s="23"/>
      <c r="AD294" s="46"/>
      <c r="AJ294" s="47"/>
    </row>
    <row r="295" spans="1:36">
      <c r="A295" s="46"/>
      <c r="G295" s="74"/>
      <c r="H295" s="74"/>
      <c r="I295" s="74"/>
      <c r="Z295" s="46"/>
      <c r="AB295" s="23"/>
      <c r="AC295" s="23"/>
      <c r="AD295" s="46"/>
      <c r="AJ295" s="47"/>
    </row>
    <row r="296" spans="1:36">
      <c r="A296" s="46"/>
      <c r="G296" s="74"/>
      <c r="H296" s="74"/>
      <c r="I296" s="74"/>
      <c r="Z296" s="46"/>
      <c r="AB296" s="23"/>
      <c r="AC296" s="23"/>
      <c r="AD296" s="46"/>
      <c r="AJ296" s="47"/>
    </row>
    <row r="297" spans="1:36">
      <c r="A297" s="46"/>
      <c r="G297" s="74"/>
      <c r="H297" s="99"/>
      <c r="I297" s="99"/>
      <c r="Z297" s="46"/>
      <c r="AB297" s="23"/>
      <c r="AC297" s="23"/>
      <c r="AD297" s="46"/>
      <c r="AJ297" s="47"/>
    </row>
    <row r="298" spans="1:36">
      <c r="A298" s="46"/>
      <c r="G298" s="74"/>
      <c r="H298" s="74"/>
      <c r="I298" s="74"/>
      <c r="Z298" s="46"/>
      <c r="AB298" s="23"/>
      <c r="AC298" s="23"/>
      <c r="AD298" s="46"/>
      <c r="AJ298" s="47"/>
    </row>
    <row r="299" spans="1:36">
      <c r="A299" s="46"/>
      <c r="E299" s="74"/>
      <c r="F299" s="74"/>
      <c r="G299" s="74"/>
      <c r="H299" s="74"/>
      <c r="I299" s="74"/>
      <c r="Z299" s="46"/>
      <c r="AB299" s="23"/>
      <c r="AC299" s="23"/>
      <c r="AD299" s="46"/>
      <c r="AJ299" s="47"/>
    </row>
    <row r="300" spans="1:36">
      <c r="A300" s="46"/>
      <c r="E300" s="74"/>
      <c r="F300" s="74"/>
      <c r="G300" s="74"/>
      <c r="H300" s="74"/>
      <c r="I300" s="74"/>
      <c r="Z300" s="46"/>
      <c r="AB300" s="23"/>
      <c r="AC300" s="23"/>
      <c r="AD300" s="46"/>
      <c r="AJ300" s="47"/>
    </row>
    <row r="301" spans="1:36">
      <c r="A301" s="46"/>
      <c r="Z301" s="46"/>
      <c r="AB301" s="23"/>
      <c r="AC301" s="23"/>
      <c r="AD301" s="46"/>
      <c r="AJ301" s="47"/>
    </row>
    <row r="302" spans="1:36">
      <c r="A302" s="46"/>
      <c r="Z302" s="46"/>
      <c r="AB302" s="23"/>
      <c r="AC302" s="23"/>
      <c r="AD302" s="46"/>
      <c r="AJ302" s="47"/>
    </row>
    <row r="303" spans="1:36">
      <c r="A303" s="46"/>
      <c r="Z303" s="46"/>
      <c r="AB303" s="23"/>
      <c r="AC303" s="23"/>
      <c r="AD303" s="46"/>
      <c r="AJ303" s="47"/>
    </row>
    <row r="304" spans="1:36">
      <c r="A304" s="46"/>
      <c r="Z304" s="46"/>
      <c r="AB304" s="23"/>
      <c r="AC304" s="23"/>
      <c r="AD304" s="46"/>
      <c r="AJ304" s="47"/>
    </row>
    <row r="305" spans="1:36">
      <c r="A305" s="46"/>
      <c r="Z305" s="46"/>
      <c r="AB305" s="23"/>
      <c r="AC305" s="23"/>
      <c r="AD305" s="46"/>
      <c r="AJ305" s="47"/>
    </row>
    <row r="306" spans="1:36">
      <c r="A306" s="46"/>
      <c r="Z306" s="46"/>
      <c r="AB306" s="23"/>
      <c r="AC306" s="23"/>
      <c r="AD306" s="46"/>
      <c r="AJ306" s="47"/>
    </row>
    <row r="307" spans="1:36">
      <c r="A307" s="46"/>
      <c r="Z307" s="46"/>
      <c r="AB307" s="23"/>
      <c r="AC307" s="23"/>
      <c r="AD307" s="46"/>
      <c r="AJ307" s="47"/>
    </row>
    <row r="308" spans="1:36">
      <c r="A308" s="46"/>
      <c r="Z308" s="46"/>
      <c r="AB308" s="23"/>
      <c r="AC308" s="23"/>
      <c r="AD308" s="46"/>
      <c r="AJ308" s="47"/>
    </row>
    <row r="309" spans="1:36">
      <c r="A309" s="46"/>
      <c r="Z309" s="46"/>
      <c r="AB309" s="23"/>
      <c r="AC309" s="23"/>
      <c r="AD309" s="46"/>
      <c r="AJ309" s="47"/>
    </row>
    <row r="310" spans="1:36">
      <c r="A310" s="46"/>
      <c r="Z310" s="46"/>
      <c r="AB310" s="23"/>
      <c r="AC310" s="23"/>
      <c r="AD310" s="46"/>
      <c r="AJ310" s="47"/>
    </row>
    <row r="311" spans="1:36">
      <c r="A311" s="46"/>
      <c r="Z311" s="46"/>
      <c r="AB311" s="23"/>
      <c r="AC311" s="23"/>
      <c r="AD311" s="46"/>
      <c r="AJ311" s="47"/>
    </row>
    <row r="312" spans="1:36">
      <c r="A312" s="46"/>
      <c r="Z312" s="46"/>
      <c r="AB312" s="23"/>
      <c r="AC312" s="23"/>
      <c r="AD312" s="46"/>
      <c r="AJ312" s="47"/>
    </row>
    <row r="313" spans="1:36">
      <c r="A313" s="46"/>
      <c r="Z313" s="46"/>
      <c r="AB313" s="23"/>
      <c r="AC313" s="23"/>
      <c r="AD313" s="46"/>
      <c r="AJ313" s="47"/>
    </row>
    <row r="314" spans="1:36">
      <c r="A314" s="46"/>
      <c r="Z314" s="46"/>
      <c r="AB314" s="23"/>
      <c r="AC314" s="23"/>
      <c r="AD314" s="46"/>
      <c r="AJ314" s="47"/>
    </row>
    <row r="315" spans="1:36">
      <c r="A315" s="46"/>
      <c r="Z315" s="46"/>
      <c r="AB315" s="23"/>
      <c r="AC315" s="23"/>
      <c r="AD315" s="46"/>
      <c r="AJ315" s="47"/>
    </row>
    <row r="316" spans="1:36">
      <c r="A316" s="46"/>
      <c r="Z316" s="46"/>
      <c r="AB316" s="23"/>
      <c r="AC316" s="23"/>
      <c r="AD316" s="46"/>
      <c r="AJ316" s="47"/>
    </row>
    <row r="317" spans="1:36">
      <c r="A317" s="46"/>
      <c r="Z317" s="46"/>
      <c r="AB317" s="23"/>
      <c r="AC317" s="23"/>
      <c r="AD317" s="46"/>
      <c r="AJ317" s="47"/>
    </row>
    <row r="318" spans="1:36">
      <c r="A318" s="46"/>
      <c r="Z318" s="46"/>
      <c r="AB318" s="23"/>
      <c r="AC318" s="23"/>
      <c r="AD318" s="46"/>
      <c r="AJ318" s="47"/>
    </row>
    <row r="319" spans="1:36">
      <c r="A319" s="46"/>
      <c r="Z319" s="46"/>
      <c r="AB319" s="23"/>
      <c r="AC319" s="23"/>
      <c r="AD319" s="46"/>
      <c r="AJ319" s="47"/>
    </row>
    <row r="320" spans="1:36">
      <c r="A320" s="46"/>
      <c r="Z320" s="46"/>
      <c r="AB320" s="23"/>
      <c r="AC320" s="23"/>
      <c r="AD320" s="46"/>
      <c r="AJ320" s="47"/>
    </row>
    <row r="321" spans="1:36">
      <c r="A321" s="46"/>
      <c r="Z321" s="46"/>
      <c r="AB321" s="23"/>
      <c r="AC321" s="23"/>
      <c r="AD321" s="46"/>
      <c r="AJ321" s="47"/>
    </row>
    <row r="322" spans="1:36">
      <c r="A322" s="46"/>
      <c r="Z322" s="46"/>
      <c r="AB322" s="23"/>
      <c r="AC322" s="23"/>
      <c r="AD322" s="46"/>
      <c r="AJ322" s="47"/>
    </row>
    <row r="323" spans="1:36">
      <c r="A323" s="46"/>
      <c r="Z323" s="46"/>
      <c r="AB323" s="23"/>
      <c r="AC323" s="23"/>
      <c r="AD323" s="46"/>
      <c r="AJ323" s="47"/>
    </row>
    <row r="324" spans="1:36">
      <c r="A324" s="46"/>
      <c r="Z324" s="46"/>
      <c r="AB324" s="23"/>
      <c r="AC324" s="23"/>
      <c r="AD324" s="46"/>
      <c r="AJ324" s="47"/>
    </row>
    <row r="325" spans="1:36">
      <c r="A325" s="46"/>
      <c r="Z325" s="46"/>
      <c r="AB325" s="23"/>
      <c r="AC325" s="23"/>
      <c r="AD325" s="46"/>
      <c r="AJ325" s="47"/>
    </row>
    <row r="326" spans="1:36">
      <c r="A326" s="46"/>
      <c r="Z326" s="46"/>
      <c r="AB326" s="23"/>
      <c r="AC326" s="23"/>
      <c r="AD326" s="46"/>
      <c r="AJ326" s="47"/>
    </row>
    <row r="327" spans="1:36">
      <c r="A327" s="46"/>
      <c r="Z327" s="46"/>
      <c r="AB327" s="23"/>
      <c r="AC327" s="23"/>
      <c r="AD327" s="46"/>
      <c r="AJ327" s="47"/>
    </row>
    <row r="328" spans="1:36">
      <c r="A328" s="46"/>
      <c r="Z328" s="46"/>
      <c r="AB328" s="23"/>
      <c r="AC328" s="23"/>
      <c r="AD328" s="46"/>
      <c r="AJ328" s="47"/>
    </row>
    <row r="329" spans="1:36">
      <c r="A329" s="46"/>
      <c r="Z329" s="46"/>
      <c r="AB329" s="23"/>
      <c r="AC329" s="23"/>
      <c r="AD329" s="46"/>
      <c r="AJ329" s="47"/>
    </row>
    <row r="330" spans="1:36">
      <c r="A330" s="46"/>
      <c r="Z330" s="46"/>
      <c r="AB330" s="23"/>
      <c r="AC330" s="23"/>
      <c r="AD330" s="46"/>
      <c r="AJ330" s="47"/>
    </row>
    <row r="331" spans="1:36">
      <c r="A331" s="46"/>
      <c r="Z331" s="46"/>
      <c r="AB331" s="23"/>
      <c r="AC331" s="23"/>
      <c r="AD331" s="46"/>
      <c r="AJ331" s="47"/>
    </row>
    <row r="332" spans="1:36">
      <c r="A332" s="46"/>
      <c r="Z332" s="46"/>
      <c r="AB332" s="23"/>
      <c r="AC332" s="23"/>
      <c r="AD332" s="46"/>
      <c r="AJ332" s="47"/>
    </row>
    <row r="333" spans="1:36">
      <c r="A333" s="46"/>
      <c r="Z333" s="46"/>
      <c r="AB333" s="23"/>
      <c r="AC333" s="23"/>
      <c r="AD333" s="46"/>
      <c r="AJ333" s="47"/>
    </row>
    <row r="334" spans="1:36">
      <c r="A334" s="46"/>
      <c r="Z334" s="46"/>
      <c r="AB334" s="23"/>
      <c r="AC334" s="23"/>
      <c r="AD334" s="46"/>
      <c r="AJ334" s="47"/>
    </row>
    <row r="335" spans="1:36">
      <c r="A335" s="46"/>
      <c r="Z335" s="46"/>
      <c r="AB335" s="23"/>
      <c r="AC335" s="23"/>
      <c r="AD335" s="46"/>
      <c r="AJ335" s="47"/>
    </row>
    <row r="336" spans="1:36">
      <c r="A336" s="46"/>
      <c r="Z336" s="46"/>
      <c r="AB336" s="23"/>
      <c r="AC336" s="23"/>
      <c r="AD336" s="46"/>
      <c r="AJ336" s="47"/>
    </row>
    <row r="337" spans="1:36">
      <c r="A337" s="46"/>
      <c r="Z337" s="46"/>
      <c r="AB337" s="23"/>
      <c r="AC337" s="23"/>
      <c r="AD337" s="46"/>
      <c r="AJ337" s="47"/>
    </row>
    <row r="338" spans="1:36">
      <c r="A338" s="46"/>
      <c r="Z338" s="46"/>
      <c r="AB338" s="23"/>
      <c r="AC338" s="23"/>
      <c r="AD338" s="46"/>
      <c r="AJ338" s="47"/>
    </row>
    <row r="339" spans="1:36">
      <c r="A339" s="46"/>
      <c r="Z339" s="46"/>
      <c r="AB339" s="23"/>
      <c r="AC339" s="23"/>
      <c r="AD339" s="46"/>
      <c r="AJ339" s="47"/>
    </row>
    <row r="340" spans="1:36">
      <c r="A340" s="46"/>
      <c r="Z340" s="46"/>
      <c r="AB340" s="23"/>
      <c r="AC340" s="23"/>
      <c r="AD340" s="46"/>
      <c r="AJ340" s="47"/>
    </row>
    <row r="341" spans="1:36">
      <c r="A341" s="46"/>
      <c r="Z341" s="46"/>
      <c r="AB341" s="23"/>
      <c r="AC341" s="23"/>
      <c r="AD341" s="46"/>
      <c r="AJ341" s="47"/>
    </row>
    <row r="342" spans="1:36">
      <c r="A342" s="46"/>
      <c r="Z342" s="46"/>
      <c r="AB342" s="23"/>
      <c r="AC342" s="23"/>
      <c r="AD342" s="46"/>
      <c r="AJ342" s="47"/>
    </row>
    <row r="343" spans="1:36">
      <c r="A343" s="46"/>
      <c r="Z343" s="46"/>
      <c r="AB343" s="23"/>
      <c r="AC343" s="23"/>
      <c r="AD343" s="46"/>
      <c r="AJ343" s="47"/>
    </row>
    <row r="344" spans="1:36">
      <c r="A344" s="46"/>
      <c r="Z344" s="46"/>
      <c r="AB344" s="23"/>
      <c r="AC344" s="23"/>
      <c r="AD344" s="46"/>
      <c r="AJ344" s="47"/>
    </row>
    <row r="345" spans="1:36">
      <c r="A345" s="46"/>
      <c r="Z345" s="46"/>
      <c r="AB345" s="23"/>
      <c r="AC345" s="23"/>
      <c r="AD345" s="46"/>
      <c r="AJ345" s="47"/>
    </row>
    <row r="346" spans="1:36">
      <c r="A346" s="46"/>
      <c r="Z346" s="46"/>
      <c r="AB346" s="23"/>
      <c r="AC346" s="23"/>
      <c r="AD346" s="46"/>
      <c r="AJ346" s="47"/>
    </row>
    <row r="347" spans="1:36">
      <c r="A347" s="46"/>
      <c r="Z347" s="46"/>
      <c r="AB347" s="23"/>
      <c r="AC347" s="23"/>
      <c r="AD347" s="46"/>
      <c r="AJ347" s="47"/>
    </row>
    <row r="348" spans="1:36">
      <c r="A348" s="46"/>
      <c r="Z348" s="46"/>
      <c r="AB348" s="23"/>
      <c r="AC348" s="23"/>
      <c r="AD348" s="46"/>
      <c r="AJ348" s="47"/>
    </row>
    <row r="349" spans="1:36">
      <c r="A349" s="46"/>
      <c r="Z349" s="46"/>
      <c r="AB349" s="23"/>
      <c r="AC349" s="23"/>
      <c r="AD349" s="46"/>
      <c r="AJ349" s="47"/>
    </row>
    <row r="350" spans="1:36">
      <c r="A350" s="46"/>
      <c r="Z350" s="46"/>
      <c r="AB350" s="23"/>
      <c r="AC350" s="23"/>
      <c r="AD350" s="46"/>
      <c r="AJ350" s="47"/>
    </row>
    <row r="351" spans="1:36">
      <c r="A351" s="46"/>
      <c r="Z351" s="46"/>
      <c r="AB351" s="23"/>
      <c r="AC351" s="23"/>
      <c r="AD351" s="46"/>
      <c r="AJ351" s="47"/>
    </row>
    <row r="352" spans="1:36">
      <c r="A352" s="46"/>
      <c r="Z352" s="46"/>
      <c r="AB352" s="23"/>
      <c r="AC352" s="23"/>
      <c r="AD352" s="46"/>
      <c r="AJ352" s="47"/>
    </row>
    <row r="353" spans="1:36">
      <c r="A353" s="46"/>
      <c r="Z353" s="46"/>
      <c r="AB353" s="23"/>
      <c r="AC353" s="23"/>
      <c r="AD353" s="46"/>
      <c r="AJ353" s="47"/>
    </row>
    <row r="354" spans="1:36">
      <c r="A354" s="46"/>
      <c r="Z354" s="46"/>
      <c r="AB354" s="23"/>
      <c r="AC354" s="23"/>
      <c r="AD354" s="46"/>
      <c r="AJ354" s="47"/>
    </row>
    <row r="355" spans="1:36">
      <c r="A355" s="46"/>
      <c r="Z355" s="46"/>
      <c r="AB355" s="23"/>
      <c r="AC355" s="23"/>
      <c r="AD355" s="46"/>
      <c r="AJ355" s="47"/>
    </row>
    <row r="356" spans="1:36">
      <c r="A356" s="46"/>
      <c r="Z356" s="46"/>
      <c r="AB356" s="23"/>
      <c r="AC356" s="23"/>
      <c r="AD356" s="46"/>
      <c r="AJ356" s="47"/>
    </row>
    <row r="357" spans="1:36">
      <c r="A357" s="46"/>
      <c r="Z357" s="46"/>
      <c r="AB357" s="23"/>
      <c r="AC357" s="23"/>
      <c r="AD357" s="46"/>
      <c r="AJ357" s="47"/>
    </row>
    <row r="358" spans="1:36">
      <c r="A358" s="46"/>
      <c r="Z358" s="46"/>
      <c r="AB358" s="23"/>
      <c r="AC358" s="23"/>
      <c r="AD358" s="46"/>
      <c r="AJ358" s="47"/>
    </row>
    <row r="359" spans="1:36">
      <c r="A359" s="46"/>
      <c r="Z359" s="46"/>
      <c r="AB359" s="23"/>
      <c r="AC359" s="23"/>
      <c r="AD359" s="46"/>
      <c r="AJ359" s="47"/>
    </row>
    <row r="360" spans="1:36">
      <c r="A360" s="46"/>
      <c r="Z360" s="46"/>
      <c r="AB360" s="23"/>
      <c r="AC360" s="23"/>
      <c r="AD360" s="46"/>
      <c r="AJ360" s="47"/>
    </row>
  </sheetData>
  <conditionalFormatting sqref="O15:O54 O67:O74 O79:O86">
    <cfRule type="cellIs" dxfId="6" priority="58" operator="greaterThan">
      <formula>1</formula>
    </cfRule>
  </conditionalFormatting>
  <conditionalFormatting sqref="BC15:BC54 BC67:BC74 BC79:BC102">
    <cfRule type="dataBar" priority="4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{CC6912E4-4708-4541-A879-1E00CCED3E47}</x14:id>
        </ext>
      </extLst>
    </cfRule>
  </conditionalFormatting>
  <conditionalFormatting sqref="BC141:BC144">
    <cfRule type="dataBar" priority="4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{5A49D96E-7675-4F34-A836-126F7B8467BE}</x14:id>
        </ext>
      </extLst>
    </cfRule>
  </conditionalFormatting>
  <conditionalFormatting sqref="O55:O58">
    <cfRule type="cellIs" dxfId="5" priority="10" operator="greaterThan">
      <formula>1</formula>
    </cfRule>
  </conditionalFormatting>
  <conditionalFormatting sqref="BC55:BC58">
    <cfRule type="dataBar" priority="9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{6FF487A8-85AF-4D86-800C-99B4B899FC21}</x14:id>
        </ext>
      </extLst>
    </cfRule>
  </conditionalFormatting>
  <conditionalFormatting sqref="O59:O62">
    <cfRule type="cellIs" dxfId="4" priority="8" operator="greaterThan">
      <formula>1</formula>
    </cfRule>
  </conditionalFormatting>
  <conditionalFormatting sqref="BC59:BC62">
    <cfRule type="dataBar" priority="7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{826BC18D-901A-45CD-B8E0-E7EAF01B62E1}</x14:id>
        </ext>
      </extLst>
    </cfRule>
  </conditionalFormatting>
  <conditionalFormatting sqref="O63:O66">
    <cfRule type="cellIs" dxfId="3" priority="6" operator="greaterThan">
      <formula>1</formula>
    </cfRule>
  </conditionalFormatting>
  <conditionalFormatting sqref="BC63:BC66">
    <cfRule type="dataBar" priority="5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{D3D19FC5-B315-4BC5-B155-0C9C3DC04864}</x14:id>
        </ext>
      </extLst>
    </cfRule>
  </conditionalFormatting>
  <conditionalFormatting sqref="O75:O78">
    <cfRule type="cellIs" dxfId="2" priority="4" operator="greaterThan">
      <formula>1</formula>
    </cfRule>
  </conditionalFormatting>
  <conditionalFormatting sqref="BC75:BC78">
    <cfRule type="dataBar" priority="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{5DFDFD91-331D-4AA5-9E7C-1F1785C31FCE}</x14:id>
        </ext>
      </extLst>
    </cfRule>
  </conditionalFormatting>
  <conditionalFormatting sqref="BC103:BC107">
    <cfRule type="dataBar" priority="103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{67A88C98-0AC1-4A19-8074-EA1E5D86C026}</x14:id>
        </ext>
      </extLst>
    </cfRule>
  </conditionalFormatting>
  <conditionalFormatting sqref="BC108:BC112">
    <cfRule type="dataBar" priority="106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{0BCA1BFF-7D0F-438B-AA43-D91D8A7BDAC1}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C6912E4-4708-4541-A879-1E00CCED3E47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BC15:BC54 BC67:BC74 BC79:BC102</xm:sqref>
        </x14:conditionalFormatting>
        <x14:conditionalFormatting xmlns:xm="http://schemas.microsoft.com/office/excel/2006/main">
          <x14:cfRule type="dataBar" id="{5A49D96E-7675-4F34-A836-126F7B8467B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BC141:BC144</xm:sqref>
        </x14:conditionalFormatting>
        <x14:conditionalFormatting xmlns:xm="http://schemas.microsoft.com/office/excel/2006/main">
          <x14:cfRule type="dataBar" id="{6FF487A8-85AF-4D86-800C-99B4B899FC2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BC55:BC58</xm:sqref>
        </x14:conditionalFormatting>
        <x14:conditionalFormatting xmlns:xm="http://schemas.microsoft.com/office/excel/2006/main">
          <x14:cfRule type="dataBar" id="{826BC18D-901A-45CD-B8E0-E7EAF01B62E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BC59:BC62</xm:sqref>
        </x14:conditionalFormatting>
        <x14:conditionalFormatting xmlns:xm="http://schemas.microsoft.com/office/excel/2006/main">
          <x14:cfRule type="dataBar" id="{D3D19FC5-B315-4BC5-B155-0C9C3DC04864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BC63:BC66</xm:sqref>
        </x14:conditionalFormatting>
        <x14:conditionalFormatting xmlns:xm="http://schemas.microsoft.com/office/excel/2006/main">
          <x14:cfRule type="dataBar" id="{5DFDFD91-331D-4AA5-9E7C-1F1785C31FCE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BC75:BC78</xm:sqref>
        </x14:conditionalFormatting>
        <x14:conditionalFormatting xmlns:xm="http://schemas.microsoft.com/office/excel/2006/main">
          <x14:cfRule type="dataBar" id="{67A88C98-0AC1-4A19-8074-EA1E5D86C026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BC103:BC107</xm:sqref>
        </x14:conditionalFormatting>
        <x14:conditionalFormatting xmlns:xm="http://schemas.microsoft.com/office/excel/2006/main">
          <x14:cfRule type="dataBar" id="{0BCA1BFF-7D0F-438B-AA43-D91D8A7BDAC1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BC108:BC112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3">
    <tabColor rgb="FF92D050"/>
  </sheetPr>
  <dimension ref="A1:AQ136"/>
  <sheetViews>
    <sheetView zoomScale="80" zoomScaleNormal="80" zoomScalePageLayoutView="80" workbookViewId="0">
      <selection activeCell="E15" sqref="E15"/>
    </sheetView>
  </sheetViews>
  <sheetFormatPr defaultColWidth="10.6640625" defaultRowHeight="14.4"/>
  <cols>
    <col min="1" max="1" width="20.6640625" customWidth="1"/>
    <col min="2" max="2" width="97.44140625" customWidth="1"/>
    <col min="3" max="3" width="86.33203125" bestFit="1" customWidth="1"/>
    <col min="4" max="4" width="15" customWidth="1"/>
    <col min="6" max="6" width="20.44140625" customWidth="1"/>
    <col min="7" max="7" width="12.33203125" customWidth="1"/>
    <col min="9" max="9" width="13" customWidth="1"/>
    <col min="10" max="10" width="11.44140625" bestFit="1" customWidth="1"/>
    <col min="11" max="11" width="12.44140625" customWidth="1"/>
    <col min="12" max="12" width="18" customWidth="1"/>
    <col min="13" max="13" width="20.44140625" style="165" customWidth="1"/>
    <col min="24" max="24" width="22.6640625" customWidth="1"/>
    <col min="26" max="26" width="16.109375" customWidth="1"/>
    <col min="27" max="27" width="16.44140625" customWidth="1"/>
    <col min="28" max="28" width="17.6640625" customWidth="1"/>
    <col min="29" max="29" width="23.33203125" customWidth="1"/>
    <col min="31" max="31" width="12.33203125" customWidth="1"/>
    <col min="33" max="33" width="31.6640625" style="8" customWidth="1"/>
  </cols>
  <sheetData>
    <row r="1" spans="1:42">
      <c r="A1" s="100" t="s">
        <v>107</v>
      </c>
      <c r="B1" s="101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60"/>
      <c r="N1" s="102"/>
      <c r="O1" s="102"/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G1" s="103"/>
    </row>
    <row r="2" spans="1:42">
      <c r="A2" s="104" t="s">
        <v>100</v>
      </c>
      <c r="B2" s="105" t="s">
        <v>101</v>
      </c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60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G2" s="103"/>
    </row>
    <row r="3" spans="1:42">
      <c r="A3" s="104" t="s">
        <v>102</v>
      </c>
      <c r="B3" s="105" t="s">
        <v>103</v>
      </c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60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G3" s="103"/>
    </row>
    <row r="4" spans="1:42">
      <c r="A4" s="104" t="s">
        <v>105</v>
      </c>
      <c r="B4" s="105" t="s">
        <v>106</v>
      </c>
      <c r="C4" s="102"/>
      <c r="D4" s="102"/>
      <c r="E4" s="102"/>
      <c r="F4" s="102"/>
      <c r="G4" s="102"/>
      <c r="H4" s="102"/>
      <c r="I4" s="102"/>
      <c r="J4" s="102"/>
      <c r="K4" s="102"/>
      <c r="L4" s="102"/>
      <c r="M4" s="160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G4" s="103"/>
    </row>
    <row r="5" spans="1:42">
      <c r="A5" s="104" t="s">
        <v>108</v>
      </c>
      <c r="B5" s="105" t="s">
        <v>109</v>
      </c>
      <c r="C5" s="102"/>
      <c r="D5" s="102"/>
      <c r="E5" s="102"/>
      <c r="F5" s="102"/>
      <c r="G5" s="102"/>
      <c r="H5" s="102"/>
      <c r="I5" s="102"/>
      <c r="J5" s="102"/>
      <c r="K5" s="102"/>
      <c r="L5" s="102"/>
      <c r="M5" s="160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G5" s="103"/>
    </row>
    <row r="6" spans="1:42">
      <c r="A6" s="104" t="s">
        <v>110</v>
      </c>
      <c r="B6" s="105" t="s">
        <v>111</v>
      </c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60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3"/>
      <c r="AB6" s="102"/>
      <c r="AC6" s="102"/>
      <c r="AG6" s="102"/>
    </row>
    <row r="7" spans="1:42">
      <c r="A7" s="104" t="s">
        <v>113</v>
      </c>
      <c r="B7" s="105" t="s">
        <v>114</v>
      </c>
      <c r="C7" s="102"/>
      <c r="D7" s="102"/>
      <c r="E7" s="102"/>
      <c r="F7" s="102"/>
      <c r="G7" s="102"/>
      <c r="H7" s="102"/>
      <c r="I7" s="102"/>
      <c r="J7" s="102"/>
      <c r="K7" s="102"/>
      <c r="L7" s="102"/>
      <c r="M7" s="160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3"/>
      <c r="AB7" s="102"/>
      <c r="AC7" s="102"/>
      <c r="AG7" s="102"/>
    </row>
    <row r="8" spans="1:42">
      <c r="A8" s="104" t="s">
        <v>115</v>
      </c>
      <c r="B8" s="105" t="s">
        <v>116</v>
      </c>
      <c r="C8" s="102"/>
      <c r="D8" s="102"/>
      <c r="E8" s="102"/>
      <c r="F8" s="102"/>
      <c r="G8" s="102"/>
      <c r="H8" s="102"/>
      <c r="I8" s="102"/>
      <c r="J8" s="102"/>
      <c r="K8" s="102"/>
      <c r="L8" s="102"/>
      <c r="M8" s="160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3"/>
      <c r="AB8" s="102"/>
      <c r="AC8" s="102"/>
      <c r="AG8" s="102"/>
    </row>
    <row r="9" spans="1:42">
      <c r="A9" s="106" t="s">
        <v>118</v>
      </c>
      <c r="B9" s="107" t="s">
        <v>119</v>
      </c>
      <c r="C9" s="102"/>
      <c r="D9" s="102"/>
      <c r="E9" s="102"/>
      <c r="F9" s="102"/>
      <c r="G9" s="102"/>
      <c r="H9" s="102"/>
      <c r="I9" s="102"/>
      <c r="J9" s="102"/>
      <c r="K9" s="102"/>
      <c r="L9" s="102"/>
      <c r="M9" s="160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3"/>
      <c r="AA9" s="102"/>
      <c r="AB9" s="102"/>
      <c r="AG9" s="102"/>
    </row>
    <row r="10" spans="1:42">
      <c r="A10" s="102"/>
      <c r="B10" s="102"/>
      <c r="C10" s="102"/>
      <c r="D10" s="102"/>
      <c r="F10" s="109" t="s">
        <v>0</v>
      </c>
      <c r="G10" s="102"/>
      <c r="H10" s="102"/>
      <c r="I10" s="102"/>
      <c r="J10" s="102"/>
      <c r="K10" s="102"/>
      <c r="L10" s="102"/>
      <c r="M10" s="102"/>
      <c r="N10" s="160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3"/>
      <c r="AG10"/>
      <c r="AH10" s="102"/>
    </row>
    <row r="11" spans="1:42" ht="43.2">
      <c r="A11" s="110" t="s">
        <v>1</v>
      </c>
      <c r="B11" s="110" t="s">
        <v>2</v>
      </c>
      <c r="C11" s="110" t="s">
        <v>3</v>
      </c>
      <c r="D11" s="111" t="s">
        <v>4</v>
      </c>
      <c r="E11" s="66" t="s">
        <v>427</v>
      </c>
      <c r="F11" s="110" t="s">
        <v>5</v>
      </c>
      <c r="G11" s="110" t="s">
        <v>6</v>
      </c>
      <c r="H11" s="112" t="s">
        <v>7</v>
      </c>
      <c r="I11" s="65" t="s">
        <v>316</v>
      </c>
      <c r="J11" s="65" t="s">
        <v>325</v>
      </c>
      <c r="K11" s="110" t="s">
        <v>8</v>
      </c>
      <c r="L11" s="67" t="s">
        <v>313</v>
      </c>
      <c r="M11" s="67" t="s">
        <v>314</v>
      </c>
      <c r="N11" s="161" t="s">
        <v>321</v>
      </c>
      <c r="O11" s="112" t="s">
        <v>177</v>
      </c>
      <c r="P11" s="112" t="s">
        <v>183</v>
      </c>
      <c r="Q11" s="110" t="s">
        <v>47</v>
      </c>
      <c r="R11" s="110" t="s">
        <v>9</v>
      </c>
      <c r="S11" s="110" t="s">
        <v>10</v>
      </c>
      <c r="T11" s="110" t="s">
        <v>11</v>
      </c>
      <c r="U11" s="110" t="s">
        <v>12</v>
      </c>
      <c r="V11" s="110" t="s">
        <v>13</v>
      </c>
      <c r="W11" s="110" t="s">
        <v>14</v>
      </c>
      <c r="X11" s="110" t="s">
        <v>15</v>
      </c>
      <c r="Y11" s="110" t="s">
        <v>16</v>
      </c>
      <c r="Z11" s="110" t="s">
        <v>28</v>
      </c>
      <c r="AA11" s="108" t="s">
        <v>624</v>
      </c>
      <c r="AB11" s="108" t="s">
        <v>625</v>
      </c>
      <c r="AC11" s="108" t="s">
        <v>626</v>
      </c>
      <c r="AD11" s="108" t="s">
        <v>627</v>
      </c>
      <c r="AE11" s="65" t="s">
        <v>333</v>
      </c>
      <c r="AF11" s="65" t="s">
        <v>17</v>
      </c>
      <c r="AG11"/>
      <c r="AH11" s="8"/>
    </row>
    <row r="12" spans="1:42" s="43" customFormat="1" ht="110.25" customHeight="1">
      <c r="A12" s="261" t="s">
        <v>18</v>
      </c>
      <c r="B12" s="261"/>
      <c r="C12" s="261" t="s">
        <v>197</v>
      </c>
      <c r="D12" s="262" t="s">
        <v>198</v>
      </c>
      <c r="E12" s="69" t="s">
        <v>428</v>
      </c>
      <c r="F12" s="261"/>
      <c r="G12" s="261" t="s">
        <v>194</v>
      </c>
      <c r="H12" s="261" t="s">
        <v>201</v>
      </c>
      <c r="I12" s="263" t="s">
        <v>315</v>
      </c>
      <c r="J12" s="263" t="s">
        <v>324</v>
      </c>
      <c r="K12" s="261" t="s">
        <v>175</v>
      </c>
      <c r="L12" s="263" t="s">
        <v>318</v>
      </c>
      <c r="M12" s="263" t="s">
        <v>319</v>
      </c>
      <c r="N12" s="264" t="s">
        <v>326</v>
      </c>
      <c r="O12" s="261" t="s">
        <v>176</v>
      </c>
      <c r="P12" s="265" t="s">
        <v>219</v>
      </c>
      <c r="Q12" s="265" t="s">
        <v>202</v>
      </c>
      <c r="R12" s="265" t="s">
        <v>202</v>
      </c>
      <c r="S12" s="265" t="s">
        <v>203</v>
      </c>
      <c r="T12" s="261" t="s">
        <v>190</v>
      </c>
      <c r="U12" s="261" t="s">
        <v>191</v>
      </c>
      <c r="V12" s="261" t="s">
        <v>192</v>
      </c>
      <c r="W12" s="261" t="s">
        <v>184</v>
      </c>
      <c r="X12" s="261" t="s">
        <v>186</v>
      </c>
      <c r="Y12" s="261" t="s">
        <v>185</v>
      </c>
      <c r="Z12" s="261" t="s">
        <v>188</v>
      </c>
      <c r="AA12" s="261" t="s">
        <v>193</v>
      </c>
      <c r="AB12" s="261" t="s">
        <v>193</v>
      </c>
      <c r="AC12" s="261" t="s">
        <v>193</v>
      </c>
      <c r="AD12" s="261" t="s">
        <v>193</v>
      </c>
      <c r="AE12" s="261"/>
      <c r="AF12" s="261" t="s">
        <v>395</v>
      </c>
      <c r="AG12" s="266"/>
      <c r="AI12" s="266"/>
      <c r="AJ12" s="266"/>
      <c r="AK12" s="266"/>
      <c r="AL12" s="266"/>
      <c r="AM12" s="266"/>
      <c r="AN12" s="266"/>
      <c r="AO12" s="266"/>
      <c r="AP12" s="266"/>
    </row>
    <row r="13" spans="1:42" ht="15" thickBot="1">
      <c r="A13" s="113" t="s">
        <v>19</v>
      </c>
      <c r="B13" s="114"/>
      <c r="C13" s="114"/>
      <c r="D13" s="115"/>
      <c r="E13" s="115"/>
      <c r="F13" s="114"/>
      <c r="G13" s="114"/>
      <c r="H13" s="114" t="s">
        <v>20</v>
      </c>
      <c r="I13" s="114"/>
      <c r="J13" s="114"/>
      <c r="K13" s="114"/>
      <c r="L13" s="114"/>
      <c r="M13" s="114"/>
      <c r="N13" s="162"/>
      <c r="O13" s="114"/>
      <c r="P13" s="114"/>
      <c r="Q13" s="114"/>
      <c r="R13" s="114"/>
      <c r="S13" s="114"/>
      <c r="T13" s="114" t="s">
        <v>21</v>
      </c>
      <c r="U13" s="114" t="s">
        <v>21</v>
      </c>
      <c r="V13" s="114" t="s">
        <v>22</v>
      </c>
      <c r="W13" s="114" t="s">
        <v>23</v>
      </c>
      <c r="X13" s="114" t="s">
        <v>23</v>
      </c>
      <c r="Y13" s="114"/>
      <c r="Z13" s="114" t="s">
        <v>24</v>
      </c>
      <c r="AA13" s="114" t="s">
        <v>25</v>
      </c>
      <c r="AB13" s="114" t="s">
        <v>25</v>
      </c>
      <c r="AC13" s="114" t="s">
        <v>25</v>
      </c>
      <c r="AD13" s="114" t="s">
        <v>25</v>
      </c>
      <c r="AE13" s="114"/>
      <c r="AF13" s="114" t="s">
        <v>24</v>
      </c>
      <c r="AG13"/>
      <c r="AH13" s="8"/>
    </row>
    <row r="14" spans="1:42" s="8" customFormat="1">
      <c r="A14" s="116" t="s">
        <v>467</v>
      </c>
      <c r="B14" s="116" t="s">
        <v>120</v>
      </c>
      <c r="C14" s="116" t="str">
        <f>ELC_CEN!C27</f>
        <v>ELCNGA,ELCSNG</v>
      </c>
      <c r="D14" s="117" t="s">
        <v>26</v>
      </c>
      <c r="E14" s="319" t="s">
        <v>551</v>
      </c>
      <c r="F14" s="116">
        <f>ELC_CEN!F27</f>
        <v>2015</v>
      </c>
      <c r="G14" s="116">
        <f>ELC_CEN!G27</f>
        <v>2015</v>
      </c>
      <c r="H14" s="119">
        <f>ELC_CEN!H27</f>
        <v>40</v>
      </c>
      <c r="I14" s="118"/>
      <c r="J14" s="118"/>
      <c r="K14" s="118">
        <f>ELC_CEN!K27</f>
        <v>0.41</v>
      </c>
      <c r="L14" s="118"/>
      <c r="M14" s="118"/>
      <c r="N14" s="163"/>
      <c r="O14" s="118">
        <f>ELC_CEN!O27</f>
        <v>0.84157894736842098</v>
      </c>
      <c r="P14" s="118">
        <f>ELC_CEN!P27</f>
        <v>0.95</v>
      </c>
      <c r="Q14" s="118">
        <f>ELC_CEN!Q27</f>
        <v>1.0526315789473684</v>
      </c>
      <c r="R14" s="118"/>
      <c r="S14" s="118"/>
      <c r="T14" s="118">
        <f>ELC_CEN!T27</f>
        <v>4.47</v>
      </c>
      <c r="U14" s="118">
        <f>ELC_CEN!U27</f>
        <v>0.14899999999999999</v>
      </c>
      <c r="V14" s="118">
        <f>ELC_CEN!V27</f>
        <v>9.3125</v>
      </c>
      <c r="W14" s="118">
        <f>ELC_CEN!W27</f>
        <v>3.1536000000000002E-2</v>
      </c>
      <c r="X14" s="118">
        <f>ELC_CEN!X27</f>
        <v>0.9</v>
      </c>
      <c r="Y14" s="118">
        <f>ELC_CEN!Y27</f>
        <v>1</v>
      </c>
      <c r="Z14" s="119">
        <f>ELC_CEN!Z27</f>
        <v>25</v>
      </c>
      <c r="AA14" s="123">
        <f>ELC_CEN!AA27</f>
        <v>20</v>
      </c>
      <c r="AB14" s="123">
        <f>ELC_CEN!AB27</f>
        <v>1.5</v>
      </c>
      <c r="AC14" s="123">
        <f>ELC_CEN!AC27</f>
        <v>1</v>
      </c>
      <c r="AD14" s="123"/>
      <c r="AF14" s="118">
        <f>ELC_CEN!AF27</f>
        <v>1.5</v>
      </c>
    </row>
    <row r="15" spans="1:42" s="8" customFormat="1">
      <c r="A15" s="289"/>
      <c r="B15" s="116"/>
      <c r="C15" s="116"/>
      <c r="D15" s="121" t="s">
        <v>138</v>
      </c>
      <c r="E15" s="319" t="s">
        <v>551</v>
      </c>
      <c r="F15" s="116">
        <f>ELC_CEN!F28</f>
        <v>2020</v>
      </c>
      <c r="G15" s="116"/>
      <c r="H15" s="118"/>
      <c r="I15" s="118"/>
      <c r="J15" s="118"/>
      <c r="K15" s="118">
        <f>ELC_CEN!K28</f>
        <v>0.42</v>
      </c>
      <c r="L15" s="118"/>
      <c r="M15" s="118"/>
      <c r="N15" s="163"/>
      <c r="O15" s="118">
        <f>ELC_CEN!O28</f>
        <v>0.85749999999999993</v>
      </c>
      <c r="P15" s="118">
        <f>ELC_CEN!P28</f>
        <v>0.96</v>
      </c>
      <c r="Q15" s="118">
        <f>ELC_CEN!Q28</f>
        <v>1.0416666666666667</v>
      </c>
      <c r="R15" s="118"/>
      <c r="S15" s="118"/>
      <c r="T15" s="118">
        <f>ELC_CEN!T28</f>
        <v>4.3955000000000002</v>
      </c>
      <c r="U15" s="118">
        <f>ELC_CEN!U28</f>
        <v>0.14527499999999999</v>
      </c>
      <c r="V15" s="118">
        <f>ELC_CEN!V28</f>
        <v>9.1055555555555561</v>
      </c>
      <c r="W15" s="118"/>
      <c r="X15" s="118"/>
      <c r="Y15" s="118"/>
      <c r="Z15" s="119"/>
      <c r="AA15" s="123">
        <f>ELC_CEN!AA28</f>
        <v>15</v>
      </c>
      <c r="AB15" s="123">
        <f>ELC_CEN!AB28</f>
        <v>1.5</v>
      </c>
      <c r="AC15" s="123">
        <f>ELC_CEN!AC28</f>
        <v>1</v>
      </c>
      <c r="AD15" s="123"/>
      <c r="AF15" s="118"/>
    </row>
    <row r="16" spans="1:42" s="8" customFormat="1">
      <c r="A16" s="116"/>
      <c r="B16" s="116"/>
      <c r="C16" s="116"/>
      <c r="D16" s="121"/>
      <c r="E16" s="319" t="s">
        <v>551</v>
      </c>
      <c r="F16" s="116">
        <f>ELC_CEN!F29</f>
        <v>2030</v>
      </c>
      <c r="G16" s="116"/>
      <c r="H16" s="118"/>
      <c r="I16" s="118"/>
      <c r="J16" s="118"/>
      <c r="K16" s="118">
        <f>ELC_CEN!K29</f>
        <v>0.43</v>
      </c>
      <c r="L16" s="118"/>
      <c r="M16" s="118"/>
      <c r="N16" s="163"/>
      <c r="O16" s="118">
        <f>ELC_CEN!O29</f>
        <v>0.86</v>
      </c>
      <c r="P16" s="118">
        <f>ELC_CEN!P29</f>
        <v>1</v>
      </c>
      <c r="Q16" s="118">
        <f>ELC_CEN!Q29</f>
        <v>1</v>
      </c>
      <c r="R16" s="118"/>
      <c r="S16" s="118"/>
      <c r="T16" s="118">
        <f>ELC_CEN!T29</f>
        <v>4.1720000000000006</v>
      </c>
      <c r="U16" s="118">
        <f>ELC_CEN!U29</f>
        <v>0.13857</v>
      </c>
      <c r="V16" s="118">
        <f>ELC_CEN!V29</f>
        <v>8.6916666666666664</v>
      </c>
      <c r="W16" s="118"/>
      <c r="X16" s="118"/>
      <c r="Y16" s="118"/>
      <c r="Z16" s="119"/>
      <c r="AA16" s="123">
        <f>ELC_CEN!AA29</f>
        <v>10</v>
      </c>
      <c r="AB16" s="123">
        <f>ELC_CEN!AB29</f>
        <v>1.5</v>
      </c>
      <c r="AC16" s="123">
        <f>ELC_CEN!AC29</f>
        <v>1</v>
      </c>
      <c r="AD16" s="123"/>
      <c r="AF16" s="118"/>
    </row>
    <row r="17" spans="1:32" s="8" customFormat="1">
      <c r="A17" s="116"/>
      <c r="B17" s="116"/>
      <c r="C17" s="116"/>
      <c r="D17" s="121"/>
      <c r="E17" s="319" t="s">
        <v>551</v>
      </c>
      <c r="F17" s="116">
        <f>ELC_CEN!F30</f>
        <v>2050</v>
      </c>
      <c r="G17" s="116"/>
      <c r="H17" s="118"/>
      <c r="I17" s="118"/>
      <c r="J17" s="118"/>
      <c r="K17" s="118">
        <f>ELC_CEN!K30</f>
        <v>0.45</v>
      </c>
      <c r="L17" s="118"/>
      <c r="M17" s="118"/>
      <c r="N17" s="163"/>
      <c r="O17" s="118">
        <f>ELC_CEN!O30</f>
        <v>0.9</v>
      </c>
      <c r="P17" s="118">
        <f>ELC_CEN!P30</f>
        <v>1</v>
      </c>
      <c r="Q17" s="118">
        <f>ELC_CEN!Q30</f>
        <v>1</v>
      </c>
      <c r="R17" s="118"/>
      <c r="S17" s="118"/>
      <c r="T17" s="118">
        <f>ELC_CEN!T30</f>
        <v>3.8740000000000001</v>
      </c>
      <c r="U17" s="118">
        <f>ELC_CEN!U30</f>
        <v>0.1341</v>
      </c>
      <c r="V17" s="118">
        <f>ELC_CEN!V30</f>
        <v>8.2777777777777786</v>
      </c>
      <c r="W17" s="118"/>
      <c r="X17" s="118"/>
      <c r="Y17" s="118"/>
      <c r="Z17" s="119"/>
      <c r="AA17" s="123">
        <f>ELC_CEN!AA30</f>
        <v>10</v>
      </c>
      <c r="AB17" s="123">
        <f>ELC_CEN!AB30</f>
        <v>1.5</v>
      </c>
      <c r="AC17" s="123">
        <f>ELC_CEN!AC30</f>
        <v>1</v>
      </c>
      <c r="AD17" s="123"/>
      <c r="AF17" s="118"/>
    </row>
    <row r="18" spans="1:32" s="8" customFormat="1">
      <c r="A18" s="116" t="s">
        <v>468</v>
      </c>
      <c r="B18" s="116" t="s">
        <v>121</v>
      </c>
      <c r="C18" s="116" t="str">
        <f>ELC_CEN!C31</f>
        <v>ELCNGA,ELCSNG</v>
      </c>
      <c r="D18" s="121" t="s">
        <v>26</v>
      </c>
      <c r="E18" s="319" t="s">
        <v>551</v>
      </c>
      <c r="F18" s="116">
        <f>ELC_CEN!F31</f>
        <v>2015</v>
      </c>
      <c r="G18" s="116">
        <f>ELC_CEN!G31</f>
        <v>2015</v>
      </c>
      <c r="H18" s="119">
        <f>ELC_CEN!H31</f>
        <v>5</v>
      </c>
      <c r="I18" s="118"/>
      <c r="J18" s="118"/>
      <c r="K18" s="118">
        <f>ELC_CEN!K31</f>
        <v>0.36</v>
      </c>
      <c r="L18" s="118"/>
      <c r="M18" s="118"/>
      <c r="N18" s="163"/>
      <c r="O18" s="118">
        <f>ELC_CEN!O31</f>
        <v>0.86704225352112674</v>
      </c>
      <c r="P18" s="118">
        <f>ELC_CEN!P31</f>
        <v>0.71</v>
      </c>
      <c r="Q18" s="118">
        <f>ELC_CEN!Q31</f>
        <v>1.4084507042253522</v>
      </c>
      <c r="R18" s="118"/>
      <c r="S18" s="118"/>
      <c r="T18" s="118">
        <f>ELC_CEN!T31</f>
        <v>5.5875000000000004</v>
      </c>
      <c r="U18" s="118">
        <f>ELC_CEN!U31</f>
        <v>0.14899999999999999</v>
      </c>
      <c r="V18" s="118">
        <f>ELC_CEN!V31</f>
        <v>11.381944444444445</v>
      </c>
      <c r="W18" s="118">
        <f>ELC_CEN!W31</f>
        <v>3.1536000000000002E-2</v>
      </c>
      <c r="X18" s="118">
        <f>ELC_CEN!X31</f>
        <v>0.9</v>
      </c>
      <c r="Y18" s="118">
        <f>ELC_CEN!Y31</f>
        <v>1</v>
      </c>
      <c r="Z18" s="119">
        <f>ELC_CEN!Z31</f>
        <v>25</v>
      </c>
      <c r="AA18" s="123">
        <f>ELC_CEN!AA31</f>
        <v>20</v>
      </c>
      <c r="AB18" s="123">
        <f>ELC_CEN!AB31</f>
        <v>1.5</v>
      </c>
      <c r="AC18" s="123">
        <f>ELC_CEN!AC31</f>
        <v>1</v>
      </c>
      <c r="AD18" s="123"/>
      <c r="AF18" s="118">
        <f>ELC_CEN!AF31</f>
        <v>1.5</v>
      </c>
    </row>
    <row r="19" spans="1:32" s="8" customFormat="1">
      <c r="A19" s="116"/>
      <c r="B19" s="116"/>
      <c r="C19" s="116"/>
      <c r="D19" s="121" t="s">
        <v>138</v>
      </c>
      <c r="E19" s="319" t="s">
        <v>551</v>
      </c>
      <c r="F19" s="116">
        <f>ELC_CEN!F32</f>
        <v>2020</v>
      </c>
      <c r="G19" s="116"/>
      <c r="H19" s="118"/>
      <c r="I19" s="118"/>
      <c r="J19" s="118"/>
      <c r="K19" s="118">
        <f>ELC_CEN!K32</f>
        <v>0.37</v>
      </c>
      <c r="L19" s="118"/>
      <c r="M19" s="118"/>
      <c r="N19" s="163"/>
      <c r="O19" s="118">
        <f>ELC_CEN!O32</f>
        <v>0.87684931506849306</v>
      </c>
      <c r="P19" s="118">
        <f>ELC_CEN!P32</f>
        <v>0.73</v>
      </c>
      <c r="Q19" s="118">
        <f>ELC_CEN!Q32</f>
        <v>1.3698630136986301</v>
      </c>
      <c r="R19" s="118"/>
      <c r="S19" s="118"/>
      <c r="T19" s="118">
        <f>ELC_CEN!T32</f>
        <v>5.4385000000000003</v>
      </c>
      <c r="U19" s="118">
        <f>ELC_CEN!U32</f>
        <v>0.14527499999999999</v>
      </c>
      <c r="V19" s="118">
        <f>ELC_CEN!V32</f>
        <v>11.175000000000001</v>
      </c>
      <c r="W19" s="118"/>
      <c r="X19" s="118"/>
      <c r="Y19" s="118"/>
      <c r="Z19" s="119"/>
      <c r="AA19" s="123">
        <f>ELC_CEN!AA32</f>
        <v>15</v>
      </c>
      <c r="AB19" s="123">
        <f>ELC_CEN!AB32</f>
        <v>1.5</v>
      </c>
      <c r="AC19" s="123">
        <f>ELC_CEN!AC32</f>
        <v>1</v>
      </c>
      <c r="AD19" s="123"/>
      <c r="AF19" s="118"/>
    </row>
    <row r="20" spans="1:32" s="8" customFormat="1">
      <c r="A20" s="116"/>
      <c r="B20" s="116"/>
      <c r="C20" s="116"/>
      <c r="D20" s="121"/>
      <c r="E20" s="319" t="s">
        <v>551</v>
      </c>
      <c r="F20" s="116">
        <f>ELC_CEN!F33</f>
        <v>2030</v>
      </c>
      <c r="G20" s="116"/>
      <c r="H20" s="118"/>
      <c r="I20" s="118"/>
      <c r="J20" s="118"/>
      <c r="K20" s="118">
        <f>ELC_CEN!K33</f>
        <v>0.39</v>
      </c>
      <c r="L20" s="118"/>
      <c r="M20" s="118"/>
      <c r="N20" s="163"/>
      <c r="O20" s="118">
        <f>ELC_CEN!O33</f>
        <v>0.87750000000000006</v>
      </c>
      <c r="P20" s="118">
        <f>ELC_CEN!P33</f>
        <v>0.8</v>
      </c>
      <c r="Q20" s="118">
        <f>ELC_CEN!Q33</f>
        <v>1.25</v>
      </c>
      <c r="R20" s="118"/>
      <c r="S20" s="118"/>
      <c r="T20" s="118">
        <f>ELC_CEN!T33</f>
        <v>5.2149999999999999</v>
      </c>
      <c r="U20" s="118">
        <f>ELC_CEN!U33</f>
        <v>0.13857</v>
      </c>
      <c r="V20" s="118">
        <f>ELC_CEN!V33</f>
        <v>10.554166666666665</v>
      </c>
      <c r="W20" s="118"/>
      <c r="X20" s="118"/>
      <c r="Y20" s="118"/>
      <c r="Z20" s="119"/>
      <c r="AA20" s="123">
        <f>ELC_CEN!AA33</f>
        <v>10</v>
      </c>
      <c r="AB20" s="123">
        <f>ELC_CEN!AB33</f>
        <v>1.5</v>
      </c>
      <c r="AC20" s="123">
        <f>ELC_CEN!AC33</f>
        <v>1</v>
      </c>
      <c r="AD20" s="123"/>
      <c r="AF20" s="118"/>
    </row>
    <row r="21" spans="1:32" s="8" customFormat="1">
      <c r="A21" s="116"/>
      <c r="B21" s="116"/>
      <c r="C21" s="116"/>
      <c r="D21" s="121"/>
      <c r="E21" s="319" t="s">
        <v>551</v>
      </c>
      <c r="F21" s="116">
        <f>ELC_CEN!F34</f>
        <v>2050</v>
      </c>
      <c r="G21" s="116"/>
      <c r="H21" s="118"/>
      <c r="I21" s="118"/>
      <c r="J21" s="118"/>
      <c r="K21" s="118">
        <f>ELC_CEN!K34</f>
        <v>0.4</v>
      </c>
      <c r="L21" s="118"/>
      <c r="M21" s="118"/>
      <c r="N21" s="163"/>
      <c r="O21" s="118">
        <f>ELC_CEN!O34</f>
        <v>0.9</v>
      </c>
      <c r="P21" s="118">
        <f>ELC_CEN!P34</f>
        <v>0.8</v>
      </c>
      <c r="Q21" s="118">
        <f>ELC_CEN!Q34</f>
        <v>1.25</v>
      </c>
      <c r="R21" s="118"/>
      <c r="S21" s="118"/>
      <c r="T21" s="118">
        <f>ELC_CEN!T34</f>
        <v>5.0660000000000007</v>
      </c>
      <c r="U21" s="118">
        <f>ELC_CEN!U34</f>
        <v>0.1341</v>
      </c>
      <c r="V21" s="118">
        <f>ELC_CEN!V34</f>
        <v>9.5194444444444439</v>
      </c>
      <c r="W21" s="118"/>
      <c r="X21" s="118"/>
      <c r="Y21" s="118"/>
      <c r="Z21" s="119"/>
      <c r="AA21" s="123">
        <f>ELC_CEN!AA34</f>
        <v>10</v>
      </c>
      <c r="AB21" s="123">
        <f>ELC_CEN!AB34</f>
        <v>1.5</v>
      </c>
      <c r="AC21" s="123">
        <f>ELC_CEN!AC34</f>
        <v>1</v>
      </c>
      <c r="AD21" s="123"/>
      <c r="AF21" s="118"/>
    </row>
    <row r="22" spans="1:32" s="8" customFormat="1">
      <c r="A22" s="116" t="s">
        <v>469</v>
      </c>
      <c r="B22" s="116" t="s">
        <v>122</v>
      </c>
      <c r="C22" s="116" t="str">
        <f>ELC_CEN!C35</f>
        <v>ELCNGA,ELCSNG</v>
      </c>
      <c r="D22" s="121" t="s">
        <v>26</v>
      </c>
      <c r="E22" s="319" t="s">
        <v>551</v>
      </c>
      <c r="F22" s="116">
        <f>ELC_CEN!F35</f>
        <v>2015</v>
      </c>
      <c r="G22" s="116">
        <f>ELC_CEN!G35</f>
        <v>2015</v>
      </c>
      <c r="H22" s="120">
        <f>ELC_CEN!H35</f>
        <v>0.15</v>
      </c>
      <c r="I22" s="118"/>
      <c r="J22" s="118"/>
      <c r="K22" s="118">
        <f>ELC_CEN!K35</f>
        <v>0.3</v>
      </c>
      <c r="L22" s="118"/>
      <c r="M22" s="118"/>
      <c r="N22" s="163"/>
      <c r="O22" s="118">
        <f>ELC_CEN!O35</f>
        <v>0.8</v>
      </c>
      <c r="P22" s="118">
        <f>ELC_CEN!P35</f>
        <v>0.6</v>
      </c>
      <c r="Q22" s="118">
        <f>ELC_CEN!Q35</f>
        <v>1.6666666666666667</v>
      </c>
      <c r="R22" s="118"/>
      <c r="S22" s="118"/>
      <c r="T22" s="118">
        <f>ELC_CEN!T35</f>
        <v>8.94</v>
      </c>
      <c r="U22" s="118">
        <f>ELC_CEN!U35</f>
        <v>0</v>
      </c>
      <c r="V22" s="118">
        <f>ELC_CEN!V35</f>
        <v>31.041666666666664</v>
      </c>
      <c r="W22" s="118">
        <f>ELC_CEN!W35</f>
        <v>3.1536000000000002E-2</v>
      </c>
      <c r="X22" s="118">
        <f>ELC_CEN!X35</f>
        <v>0.9</v>
      </c>
      <c r="Y22" s="118">
        <f>ELC_CEN!Y35</f>
        <v>1</v>
      </c>
      <c r="Z22" s="119">
        <f>ELC_CEN!Z35</f>
        <v>15</v>
      </c>
      <c r="AA22" s="123">
        <f>ELC_CEN!AA35</f>
        <v>10</v>
      </c>
      <c r="AB22" s="123">
        <f>ELC_CEN!AB35</f>
        <v>6</v>
      </c>
      <c r="AC22" s="466"/>
      <c r="AD22" s="123"/>
      <c r="AF22" s="118">
        <f>ELC_CEN!AF35</f>
        <v>0.5</v>
      </c>
    </row>
    <row r="23" spans="1:32" s="8" customFormat="1">
      <c r="A23" s="116"/>
      <c r="B23" s="116"/>
      <c r="C23" s="116"/>
      <c r="D23" s="121" t="s">
        <v>138</v>
      </c>
      <c r="E23" s="319" t="s">
        <v>551</v>
      </c>
      <c r="F23" s="116">
        <f>ELC_CEN!F36</f>
        <v>2020</v>
      </c>
      <c r="G23" s="116"/>
      <c r="H23" s="118"/>
      <c r="I23" s="118"/>
      <c r="J23" s="118"/>
      <c r="K23" s="118">
        <f>ELC_CEN!K36</f>
        <v>0.3</v>
      </c>
      <c r="L23" s="118"/>
      <c r="M23" s="118"/>
      <c r="N23" s="163"/>
      <c r="O23" s="118">
        <f>ELC_CEN!O36</f>
        <v>0.8</v>
      </c>
      <c r="P23" s="118">
        <f>ELC_CEN!P36</f>
        <v>0.6</v>
      </c>
      <c r="Q23" s="118">
        <f>ELC_CEN!Q36</f>
        <v>1.6666666666666667</v>
      </c>
      <c r="R23" s="118"/>
      <c r="S23" s="118"/>
      <c r="T23" s="118">
        <f>ELC_CEN!T36</f>
        <v>8.94</v>
      </c>
      <c r="U23" s="118">
        <f>ELC_CEN!U36</f>
        <v>0</v>
      </c>
      <c r="V23" s="118">
        <f>ELC_CEN!V36</f>
        <v>31.041666666666664</v>
      </c>
      <c r="W23" s="118"/>
      <c r="X23" s="118"/>
      <c r="Y23" s="118"/>
      <c r="Z23" s="119"/>
      <c r="AA23" s="123">
        <f>ELC_CEN!AA36</f>
        <v>10</v>
      </c>
      <c r="AB23" s="123">
        <f>ELC_CEN!AB36</f>
        <v>6</v>
      </c>
      <c r="AC23" s="466"/>
      <c r="AD23" s="123"/>
      <c r="AF23" s="118"/>
    </row>
    <row r="24" spans="1:32" s="8" customFormat="1">
      <c r="A24" s="116"/>
      <c r="B24" s="116"/>
      <c r="C24" s="116"/>
      <c r="D24" s="121"/>
      <c r="E24" s="319" t="s">
        <v>551</v>
      </c>
      <c r="F24" s="116">
        <f>ELC_CEN!F37</f>
        <v>2030</v>
      </c>
      <c r="G24" s="116"/>
      <c r="H24" s="118"/>
      <c r="I24" s="118"/>
      <c r="J24" s="118"/>
      <c r="K24" s="118">
        <f>ELC_CEN!K37</f>
        <v>0.3</v>
      </c>
      <c r="L24" s="118"/>
      <c r="M24" s="118"/>
      <c r="N24" s="163"/>
      <c r="O24" s="118">
        <f>ELC_CEN!O37</f>
        <v>0.8</v>
      </c>
      <c r="P24" s="118">
        <f>ELC_CEN!P37</f>
        <v>0.6</v>
      </c>
      <c r="Q24" s="118">
        <f>ELC_CEN!Q37</f>
        <v>1.6666666666666667</v>
      </c>
      <c r="R24" s="118"/>
      <c r="S24" s="118"/>
      <c r="T24" s="118">
        <f>ELC_CEN!T37</f>
        <v>8.1950000000000003</v>
      </c>
      <c r="U24" s="118">
        <f>ELC_CEN!U37</f>
        <v>0</v>
      </c>
      <c r="V24" s="118">
        <f>ELC_CEN!V37</f>
        <v>28.972222222222221</v>
      </c>
      <c r="W24" s="118"/>
      <c r="X24" s="118"/>
      <c r="Y24" s="118"/>
      <c r="Z24" s="119"/>
      <c r="AA24" s="123">
        <f>ELC_CEN!AA37</f>
        <v>10</v>
      </c>
      <c r="AB24" s="123">
        <f>ELC_CEN!AB37</f>
        <v>6</v>
      </c>
      <c r="AC24" s="466"/>
      <c r="AD24" s="123"/>
      <c r="AF24" s="118"/>
    </row>
    <row r="25" spans="1:32" s="8" customFormat="1">
      <c r="A25" s="116"/>
      <c r="B25" s="116"/>
      <c r="C25" s="116"/>
      <c r="D25" s="121"/>
      <c r="E25" s="319" t="s">
        <v>551</v>
      </c>
      <c r="F25" s="116">
        <f>ELC_CEN!F38</f>
        <v>2050</v>
      </c>
      <c r="G25" s="116"/>
      <c r="H25" s="118"/>
      <c r="I25" s="118"/>
      <c r="J25" s="118"/>
      <c r="K25" s="118">
        <f>ELC_CEN!K38</f>
        <v>0.3</v>
      </c>
      <c r="L25" s="118"/>
      <c r="M25" s="118"/>
      <c r="N25" s="163"/>
      <c r="O25" s="118">
        <f>ELC_CEN!O38</f>
        <v>0.8</v>
      </c>
      <c r="P25" s="118">
        <f>ELC_CEN!P38</f>
        <v>0.6</v>
      </c>
      <c r="Q25" s="118">
        <f>ELC_CEN!Q38</f>
        <v>1.6666666666666667</v>
      </c>
      <c r="R25" s="118"/>
      <c r="S25" s="118"/>
      <c r="T25" s="118">
        <f>ELC_CEN!T38</f>
        <v>7.45</v>
      </c>
      <c r="U25" s="118">
        <f>ELC_CEN!U38</f>
        <v>0</v>
      </c>
      <c r="V25" s="118">
        <f>ELC_CEN!V38</f>
        <v>26.902777777777779</v>
      </c>
      <c r="W25" s="118"/>
      <c r="X25" s="118"/>
      <c r="Y25" s="118"/>
      <c r="Z25" s="119"/>
      <c r="AA25" s="123">
        <f>ELC_CEN!AA38</f>
        <v>10</v>
      </c>
      <c r="AB25" s="123">
        <f>ELC_CEN!AB38</f>
        <v>6</v>
      </c>
      <c r="AC25" s="466"/>
      <c r="AD25" s="123"/>
      <c r="AF25" s="118"/>
    </row>
    <row r="26" spans="1:32" s="8" customFormat="1">
      <c r="A26" s="116" t="s">
        <v>470</v>
      </c>
      <c r="B26" s="116" t="s">
        <v>123</v>
      </c>
      <c r="C26" s="116" t="str">
        <f>ELC_CEN!C39</f>
        <v>ELCNGA,ELCSNG</v>
      </c>
      <c r="D26" s="121" t="s">
        <v>26</v>
      </c>
      <c r="E26" s="319" t="s">
        <v>551</v>
      </c>
      <c r="F26" s="116">
        <f>ELC_CEN!F39</f>
        <v>2015</v>
      </c>
      <c r="G26" s="116">
        <f>ELC_CEN!G39</f>
        <v>2015</v>
      </c>
      <c r="H26" s="119">
        <f>ELC_CEN!H39</f>
        <v>100</v>
      </c>
      <c r="I26" s="118"/>
      <c r="J26" s="118"/>
      <c r="K26" s="118">
        <f>ELC_CEN!K39</f>
        <v>0.57999999999999996</v>
      </c>
      <c r="L26" s="118"/>
      <c r="M26" s="118"/>
      <c r="N26" s="163"/>
      <c r="O26" s="118">
        <f>ELC_CEN!O39</f>
        <v>0.8464864864864865</v>
      </c>
      <c r="P26" s="118">
        <f>ELC_CEN!P39</f>
        <v>1.7</v>
      </c>
      <c r="Q26" s="118"/>
      <c r="R26" s="118">
        <f>ELC_CEN!R39</f>
        <v>0.58823529411764708</v>
      </c>
      <c r="S26" s="118">
        <f>ELC_CEN!S39</f>
        <v>0.15</v>
      </c>
      <c r="T26" s="118">
        <f>ELC_CEN!T39</f>
        <v>6.7050000000000001</v>
      </c>
      <c r="U26" s="118">
        <f>ELC_CEN!U39</f>
        <v>0.2235</v>
      </c>
      <c r="V26" s="118">
        <f>ELC_CEN!V39</f>
        <v>9.3125</v>
      </c>
      <c r="W26" s="118">
        <f>ELC_CEN!W39</f>
        <v>3.1536000000000002E-2</v>
      </c>
      <c r="X26" s="118">
        <f>ELC_CEN!X39</f>
        <v>0.94</v>
      </c>
      <c r="Y26" s="118">
        <f>ELC_CEN!Y39</f>
        <v>1</v>
      </c>
      <c r="Z26" s="119">
        <f>ELC_CEN!Z39</f>
        <v>25</v>
      </c>
      <c r="AA26" s="123">
        <f>ELC_CEN!AA39</f>
        <v>20</v>
      </c>
      <c r="AB26" s="123">
        <f>ELC_CEN!AB39</f>
        <v>1.5</v>
      </c>
      <c r="AC26" s="123">
        <f>ELC_CEN!AC39</f>
        <v>1</v>
      </c>
      <c r="AD26" s="123"/>
      <c r="AF26" s="118">
        <f>ELC_CEN!AF39</f>
        <v>2.5</v>
      </c>
    </row>
    <row r="27" spans="1:32" s="8" customFormat="1">
      <c r="A27" s="116"/>
      <c r="B27" s="116"/>
      <c r="C27" s="116"/>
      <c r="D27" s="121" t="s">
        <v>138</v>
      </c>
      <c r="E27" s="319" t="s">
        <v>551</v>
      </c>
      <c r="F27" s="116">
        <f>ELC_CEN!F40</f>
        <v>2020</v>
      </c>
      <c r="G27" s="116"/>
      <c r="H27" s="118"/>
      <c r="I27" s="118"/>
      <c r="J27" s="118"/>
      <c r="K27" s="118">
        <f>ELC_CEN!K40</f>
        <v>0.59</v>
      </c>
      <c r="L27" s="118"/>
      <c r="M27" s="118"/>
      <c r="N27" s="163"/>
      <c r="O27" s="118">
        <f>ELC_CEN!O40</f>
        <v>0.84717948717948721</v>
      </c>
      <c r="P27" s="118">
        <f>ELC_CEN!P40</f>
        <v>1.8</v>
      </c>
      <c r="Q27" s="118"/>
      <c r="R27" s="118">
        <f>ELC_CEN!R40</f>
        <v>0.55555555555555558</v>
      </c>
      <c r="S27" s="118">
        <f>ELC_CEN!S40</f>
        <v>0.15</v>
      </c>
      <c r="T27" s="118">
        <f>ELC_CEN!T40</f>
        <v>6.556</v>
      </c>
      <c r="U27" s="118">
        <f>ELC_CEN!U40</f>
        <v>0.21828500000000001</v>
      </c>
      <c r="V27" s="118">
        <f>ELC_CEN!V40</f>
        <v>9.1055555555555561</v>
      </c>
      <c r="W27" s="118"/>
      <c r="X27" s="118"/>
      <c r="Y27" s="118"/>
      <c r="Z27" s="119"/>
      <c r="AA27" s="123">
        <f>ELC_CEN!AA40</f>
        <v>15</v>
      </c>
      <c r="AB27" s="123">
        <f>ELC_CEN!AB40</f>
        <v>1.5</v>
      </c>
      <c r="AC27" s="123">
        <f>ELC_CEN!AC40</f>
        <v>1</v>
      </c>
      <c r="AD27" s="123"/>
      <c r="AF27" s="118"/>
    </row>
    <row r="28" spans="1:32" s="8" customFormat="1">
      <c r="A28" s="116"/>
      <c r="B28" s="116"/>
      <c r="C28" s="116"/>
      <c r="D28" s="121"/>
      <c r="E28" s="319" t="s">
        <v>551</v>
      </c>
      <c r="F28" s="116">
        <f>ELC_CEN!F41</f>
        <v>2030</v>
      </c>
      <c r="G28" s="116"/>
      <c r="H28" s="118"/>
      <c r="I28" s="118"/>
      <c r="J28" s="118"/>
      <c r="K28" s="118">
        <f>ELC_CEN!K41</f>
        <v>0.61</v>
      </c>
      <c r="L28" s="118"/>
      <c r="M28" s="118"/>
      <c r="N28" s="163"/>
      <c r="O28" s="118">
        <f>ELC_CEN!O41</f>
        <v>0.85116279069767453</v>
      </c>
      <c r="P28" s="118">
        <f>ELC_CEN!P41</f>
        <v>2</v>
      </c>
      <c r="Q28" s="118"/>
      <c r="R28" s="118">
        <f>ELC_CEN!R41</f>
        <v>0.5</v>
      </c>
      <c r="S28" s="118">
        <f>ELC_CEN!S41</f>
        <v>0.15</v>
      </c>
      <c r="T28" s="118">
        <f>ELC_CEN!T41</f>
        <v>6.1834999999999996</v>
      </c>
      <c r="U28" s="118">
        <f>ELC_CEN!U41</f>
        <v>0.20710999999999999</v>
      </c>
      <c r="V28" s="118">
        <f>ELC_CEN!V41</f>
        <v>8.6916666666666664</v>
      </c>
      <c r="W28" s="118"/>
      <c r="X28" s="118"/>
      <c r="Y28" s="118"/>
      <c r="Z28" s="119"/>
      <c r="AA28" s="123">
        <f>ELC_CEN!AA41</f>
        <v>10</v>
      </c>
      <c r="AB28" s="123">
        <f>ELC_CEN!AB41</f>
        <v>1.5</v>
      </c>
      <c r="AC28" s="123">
        <f>ELC_CEN!AC41</f>
        <v>1</v>
      </c>
      <c r="AD28" s="123"/>
      <c r="AF28" s="118"/>
    </row>
    <row r="29" spans="1:32" s="8" customFormat="1">
      <c r="A29" s="116"/>
      <c r="B29" s="116"/>
      <c r="C29" s="116"/>
      <c r="D29" s="121"/>
      <c r="E29" s="319" t="s">
        <v>551</v>
      </c>
      <c r="F29" s="116">
        <f>ELC_CEN!F42</f>
        <v>2050</v>
      </c>
      <c r="G29" s="116"/>
      <c r="H29" s="118"/>
      <c r="I29" s="118"/>
      <c r="J29" s="118"/>
      <c r="K29" s="118">
        <f>ELC_CEN!K42</f>
        <v>0.63</v>
      </c>
      <c r="L29" s="118"/>
      <c r="M29" s="118"/>
      <c r="N29" s="163"/>
      <c r="O29" s="118">
        <f>ELC_CEN!O42</f>
        <v>0.85787234042553195</v>
      </c>
      <c r="P29" s="118">
        <f>ELC_CEN!P42</f>
        <v>2.2000000000000002</v>
      </c>
      <c r="Q29" s="118"/>
      <c r="R29" s="118">
        <f>ELC_CEN!R42</f>
        <v>0.45454545454545453</v>
      </c>
      <c r="S29" s="118">
        <f>ELC_CEN!S42</f>
        <v>0.15</v>
      </c>
      <c r="T29" s="118">
        <f>ELC_CEN!T42</f>
        <v>5.9600000000000009</v>
      </c>
      <c r="U29" s="118">
        <f>ELC_CEN!U42</f>
        <v>0.19370000000000001</v>
      </c>
      <c r="V29" s="118">
        <f>ELC_CEN!V42</f>
        <v>8.2777777777777786</v>
      </c>
      <c r="W29" s="118"/>
      <c r="X29" s="118"/>
      <c r="Y29" s="118"/>
      <c r="Z29" s="119"/>
      <c r="AA29" s="123">
        <f>ELC_CEN!AA42</f>
        <v>8</v>
      </c>
      <c r="AB29" s="123">
        <f>ELC_CEN!AB42</f>
        <v>1.5</v>
      </c>
      <c r="AC29" s="123">
        <f>ELC_CEN!AC42</f>
        <v>1</v>
      </c>
      <c r="AD29" s="123"/>
      <c r="AF29" s="118"/>
    </row>
    <row r="30" spans="1:32" s="8" customFormat="1">
      <c r="A30" s="439" t="s">
        <v>471</v>
      </c>
      <c r="B30" s="74" t="s">
        <v>299</v>
      </c>
      <c r="C30" s="116" t="str">
        <f>ELC_CEN!C43</f>
        <v>ELCNGA,ELCSNG</v>
      </c>
      <c r="D30" s="75" t="s">
        <v>26</v>
      </c>
      <c r="E30" s="319" t="s">
        <v>551</v>
      </c>
      <c r="F30" s="116">
        <f>ELC_CEN!F43</f>
        <v>2015</v>
      </c>
      <c r="G30" s="116">
        <f>ELC_CEN!G43</f>
        <v>2015</v>
      </c>
      <c r="H30" s="119">
        <f>ELC_CEN!H43</f>
        <v>10</v>
      </c>
      <c r="I30" s="118"/>
      <c r="J30" s="118"/>
      <c r="K30" s="118">
        <f>ELC_CEN!K43</f>
        <v>0.5</v>
      </c>
      <c r="L30" s="118"/>
      <c r="M30" s="118"/>
      <c r="N30" s="163"/>
      <c r="O30" s="118">
        <f>ELC_CEN!O43</f>
        <v>0.91666666666666674</v>
      </c>
      <c r="P30" s="118">
        <f>ELC_CEN!P43</f>
        <v>1.2</v>
      </c>
      <c r="Q30" s="118">
        <f>ELC_CEN!Q43</f>
        <v>0.83333333333333337</v>
      </c>
      <c r="R30" s="118"/>
      <c r="S30" s="118"/>
      <c r="T30" s="118">
        <f>ELC_CEN!T43</f>
        <v>9.6850000000000005</v>
      </c>
      <c r="U30" s="118">
        <f>ELC_CEN!U43</f>
        <v>0.2235</v>
      </c>
      <c r="V30" s="118">
        <f>ELC_CEN!V43</f>
        <v>9.3125</v>
      </c>
      <c r="W30" s="118">
        <f>ELC_CEN!W43</f>
        <v>3.1536000000000002E-2</v>
      </c>
      <c r="X30" s="118">
        <f>ELC_CEN!X43</f>
        <v>0.94</v>
      </c>
      <c r="Y30" s="118">
        <f>ELC_CEN!Y43</f>
        <v>1</v>
      </c>
      <c r="Z30" s="119">
        <f>ELC_CEN!Z43</f>
        <v>25</v>
      </c>
      <c r="AA30" s="123">
        <f>ELC_CEN!AA43</f>
        <v>20</v>
      </c>
      <c r="AB30" s="123">
        <f>ELC_CEN!AB43</f>
        <v>1.5</v>
      </c>
      <c r="AC30" s="123">
        <f>ELC_CEN!AC43</f>
        <v>1</v>
      </c>
      <c r="AD30" s="123"/>
      <c r="AF30" s="118">
        <f>ELC_CEN!AF43</f>
        <v>2.5</v>
      </c>
    </row>
    <row r="31" spans="1:32" s="8" customFormat="1">
      <c r="A31" s="116"/>
      <c r="B31" s="74"/>
      <c r="C31" s="74"/>
      <c r="D31" s="75" t="s">
        <v>138</v>
      </c>
      <c r="E31" s="319" t="s">
        <v>551</v>
      </c>
      <c r="F31" s="116">
        <f>ELC_CEN!F44</f>
        <v>2020</v>
      </c>
      <c r="G31" s="116"/>
      <c r="H31" s="118"/>
      <c r="I31" s="118"/>
      <c r="J31" s="118"/>
      <c r="K31" s="118">
        <f>ELC_CEN!K44</f>
        <v>0.51</v>
      </c>
      <c r="L31" s="118"/>
      <c r="M31" s="118"/>
      <c r="N31" s="163"/>
      <c r="O31" s="118">
        <f>ELC_CEN!O44</f>
        <v>0.90230769230769226</v>
      </c>
      <c r="P31" s="118">
        <f>ELC_CEN!P44</f>
        <v>1.3</v>
      </c>
      <c r="Q31" s="118">
        <f>ELC_CEN!Q44</f>
        <v>0.76923076923076916</v>
      </c>
      <c r="R31" s="118"/>
      <c r="S31" s="118"/>
      <c r="T31" s="118">
        <f>ELC_CEN!T44</f>
        <v>9.6850000000000005</v>
      </c>
      <c r="U31" s="118">
        <f>ELC_CEN!U44</f>
        <v>0.21828500000000001</v>
      </c>
      <c r="V31" s="118">
        <f>ELC_CEN!V44</f>
        <v>9.1055555555555561</v>
      </c>
      <c r="W31" s="118"/>
      <c r="X31" s="118"/>
      <c r="Y31" s="118"/>
      <c r="Z31" s="119"/>
      <c r="AA31" s="123">
        <f>ELC_CEN!AA44</f>
        <v>15</v>
      </c>
      <c r="AB31" s="123">
        <f>ELC_CEN!AB44</f>
        <v>1.5</v>
      </c>
      <c r="AC31" s="123">
        <f>ELC_CEN!AC44</f>
        <v>1</v>
      </c>
      <c r="AD31" s="123"/>
      <c r="AF31" s="118"/>
    </row>
    <row r="32" spans="1:32" s="8" customFormat="1">
      <c r="A32" s="116"/>
      <c r="B32" s="116"/>
      <c r="C32" s="116"/>
      <c r="D32" s="121"/>
      <c r="E32" s="319" t="s">
        <v>551</v>
      </c>
      <c r="F32" s="116">
        <f>ELC_CEN!F45</f>
        <v>2030</v>
      </c>
      <c r="G32" s="116"/>
      <c r="H32" s="118"/>
      <c r="I32" s="118"/>
      <c r="J32" s="118"/>
      <c r="K32" s="118">
        <f>ELC_CEN!K45</f>
        <v>0.53</v>
      </c>
      <c r="L32" s="118"/>
      <c r="M32" s="118"/>
      <c r="N32" s="163"/>
      <c r="O32" s="118">
        <f>ELC_CEN!O45</f>
        <v>0.90857142857142859</v>
      </c>
      <c r="P32" s="118">
        <f>ELC_CEN!P45</f>
        <v>1.4</v>
      </c>
      <c r="Q32" s="118">
        <f>ELC_CEN!Q45</f>
        <v>0.7142857142857143</v>
      </c>
      <c r="R32" s="118"/>
      <c r="S32" s="118"/>
      <c r="T32" s="118">
        <f>ELC_CEN!T45</f>
        <v>8.94</v>
      </c>
      <c r="U32" s="118">
        <f>ELC_CEN!U45</f>
        <v>0.20710999999999999</v>
      </c>
      <c r="V32" s="118">
        <f>ELC_CEN!V45</f>
        <v>8.6916666666666664</v>
      </c>
      <c r="W32" s="118"/>
      <c r="X32" s="118"/>
      <c r="Y32" s="118"/>
      <c r="Z32" s="119"/>
      <c r="AA32" s="123">
        <f>ELC_CEN!AA45</f>
        <v>10</v>
      </c>
      <c r="AB32" s="123">
        <f>ELC_CEN!AB45</f>
        <v>1.5</v>
      </c>
      <c r="AC32" s="123">
        <f>ELC_CEN!AC45</f>
        <v>1</v>
      </c>
      <c r="AD32" s="123"/>
      <c r="AF32" s="118"/>
    </row>
    <row r="33" spans="1:43" s="8" customFormat="1">
      <c r="A33" s="116"/>
      <c r="B33" s="116"/>
      <c r="C33" s="116"/>
      <c r="D33" s="121"/>
      <c r="E33" s="319" t="s">
        <v>551</v>
      </c>
      <c r="F33" s="116">
        <f>ELC_CEN!F46</f>
        <v>2050</v>
      </c>
      <c r="G33" s="116"/>
      <c r="H33" s="118"/>
      <c r="I33" s="118"/>
      <c r="J33" s="118"/>
      <c r="K33" s="118">
        <f>ELC_CEN!K46</f>
        <v>0.55000000000000004</v>
      </c>
      <c r="L33" s="118"/>
      <c r="M33" s="118"/>
      <c r="N33" s="163"/>
      <c r="O33" s="118">
        <f>ELC_CEN!O46</f>
        <v>0.90483870967741942</v>
      </c>
      <c r="P33" s="118">
        <f>ELC_CEN!P46</f>
        <v>1.55</v>
      </c>
      <c r="Q33" s="118">
        <f>ELC_CEN!Q46</f>
        <v>0.64516129032258063</v>
      </c>
      <c r="R33" s="118"/>
      <c r="S33" s="118"/>
      <c r="T33" s="118">
        <f>ELC_CEN!T46</f>
        <v>8.1950000000000003</v>
      </c>
      <c r="U33" s="118">
        <f>ELC_CEN!U46</f>
        <v>0.19370000000000001</v>
      </c>
      <c r="V33" s="118">
        <f>ELC_CEN!V46</f>
        <v>8.2777777777777786</v>
      </c>
      <c r="W33" s="118"/>
      <c r="X33" s="118"/>
      <c r="Y33" s="118"/>
      <c r="Z33" s="119"/>
      <c r="AA33" s="123">
        <f>ELC_CEN!AA46</f>
        <v>8</v>
      </c>
      <c r="AB33" s="123">
        <f>ELC_CEN!AB46</f>
        <v>1.5</v>
      </c>
      <c r="AC33" s="123">
        <f>ELC_CEN!AC46</f>
        <v>1</v>
      </c>
      <c r="AD33" s="123"/>
      <c r="AF33" s="118"/>
    </row>
    <row r="34" spans="1:43" s="8" customFormat="1">
      <c r="A34" s="116" t="s">
        <v>472</v>
      </c>
      <c r="B34" s="116" t="s">
        <v>124</v>
      </c>
      <c r="C34" s="116" t="str">
        <f>ELC_CEN!C47</f>
        <v>ELCNGA,ELCSNG</v>
      </c>
      <c r="D34" s="121" t="s">
        <v>26</v>
      </c>
      <c r="E34" s="319" t="s">
        <v>551</v>
      </c>
      <c r="F34" s="116">
        <f>ELC_CEN!F47</f>
        <v>2015</v>
      </c>
      <c r="G34" s="116">
        <f>ELC_CEN!G47</f>
        <v>2015</v>
      </c>
      <c r="H34" s="119">
        <f>ELC_CEN!H47</f>
        <v>1</v>
      </c>
      <c r="I34" s="118"/>
      <c r="J34" s="118"/>
      <c r="K34" s="118">
        <f>ELC_CEN!K47</f>
        <v>0.46</v>
      </c>
      <c r="L34" s="118"/>
      <c r="M34" s="118"/>
      <c r="N34" s="163"/>
      <c r="O34" s="118">
        <f>ELC_CEN!O47</f>
        <v>0.97111111111111126</v>
      </c>
      <c r="P34" s="118">
        <f>ELC_CEN!P47</f>
        <v>0.9</v>
      </c>
      <c r="Q34" s="118">
        <f>ELC_CEN!Q47</f>
        <v>1.1111111111111112</v>
      </c>
      <c r="R34" s="118"/>
      <c r="S34" s="118"/>
      <c r="T34" s="118">
        <f>ELC_CEN!T47</f>
        <v>7.45</v>
      </c>
      <c r="U34" s="118">
        <f>ELC_CEN!U47</f>
        <v>7.4499999999999997E-2</v>
      </c>
      <c r="V34" s="118">
        <f>ELC_CEN!V47</f>
        <v>11.175000000000001</v>
      </c>
      <c r="W34" s="118">
        <f>ELC_CEN!W47</f>
        <v>3.1536000000000002E-2</v>
      </c>
      <c r="X34" s="118">
        <f>ELC_CEN!X47</f>
        <v>0.95</v>
      </c>
      <c r="Y34" s="118">
        <f>ELC_CEN!Y47</f>
        <v>1</v>
      </c>
      <c r="Z34" s="119">
        <f>ELC_CEN!Z47</f>
        <v>25</v>
      </c>
      <c r="AA34" s="123">
        <f>ELC_CEN!AA47</f>
        <v>75</v>
      </c>
      <c r="AB34" s="123">
        <f>ELC_CEN!AB47</f>
        <v>315</v>
      </c>
      <c r="AC34" s="123">
        <f>ELC_CEN!AC47</f>
        <v>0.6</v>
      </c>
      <c r="AD34" s="123"/>
      <c r="AF34" s="118"/>
    </row>
    <row r="35" spans="1:43" s="8" customFormat="1">
      <c r="A35" s="116"/>
      <c r="B35" s="116"/>
      <c r="C35" s="116"/>
      <c r="D35" s="121" t="s">
        <v>138</v>
      </c>
      <c r="E35" s="319" t="s">
        <v>551</v>
      </c>
      <c r="F35" s="116">
        <f>ELC_CEN!F48</f>
        <v>2020</v>
      </c>
      <c r="G35" s="116"/>
      <c r="H35" s="118"/>
      <c r="I35" s="118"/>
      <c r="J35" s="118"/>
      <c r="K35" s="118">
        <f>ELC_CEN!K48</f>
        <v>0.47</v>
      </c>
      <c r="L35" s="118"/>
      <c r="M35" s="118"/>
      <c r="N35" s="163"/>
      <c r="O35" s="118">
        <f>ELC_CEN!O48</f>
        <v>0.96473684210526311</v>
      </c>
      <c r="P35" s="118">
        <f>ELC_CEN!P48</f>
        <v>0.95</v>
      </c>
      <c r="Q35" s="118">
        <f>ELC_CEN!Q48</f>
        <v>1.0526315789473684</v>
      </c>
      <c r="R35" s="118"/>
      <c r="S35" s="118"/>
      <c r="T35" s="118">
        <f>ELC_CEN!T48</f>
        <v>7.0774999999999997</v>
      </c>
      <c r="U35" s="118">
        <f>ELC_CEN!U48</f>
        <v>7.2637499999999994E-2</v>
      </c>
      <c r="V35" s="118">
        <f>ELC_CEN!V48</f>
        <v>11.175000000000001</v>
      </c>
      <c r="W35" s="118"/>
      <c r="X35" s="118"/>
      <c r="Y35" s="118"/>
      <c r="Z35" s="119"/>
      <c r="AA35" s="123">
        <f>ELC_CEN!AA48</f>
        <v>60</v>
      </c>
      <c r="AB35" s="123">
        <f>ELC_CEN!AB48</f>
        <v>315</v>
      </c>
      <c r="AC35" s="123">
        <f>ELC_CEN!AC48</f>
        <v>0.6</v>
      </c>
      <c r="AD35" s="123"/>
      <c r="AF35" s="118"/>
    </row>
    <row r="36" spans="1:43" s="8" customFormat="1">
      <c r="A36" s="116"/>
      <c r="B36" s="116"/>
      <c r="C36" s="116"/>
      <c r="D36" s="121"/>
      <c r="E36" s="319" t="s">
        <v>551</v>
      </c>
      <c r="F36" s="116">
        <f>ELC_CEN!F49</f>
        <v>2030</v>
      </c>
      <c r="G36" s="116"/>
      <c r="H36" s="118"/>
      <c r="I36" s="118"/>
      <c r="J36" s="118"/>
      <c r="K36" s="118">
        <f>ELC_CEN!K49</f>
        <v>0.48</v>
      </c>
      <c r="L36" s="118"/>
      <c r="M36" s="118"/>
      <c r="N36" s="163"/>
      <c r="O36" s="118">
        <f>ELC_CEN!O49</f>
        <v>0.96484848484848484</v>
      </c>
      <c r="P36" s="118">
        <f>ELC_CEN!P49</f>
        <v>0.99</v>
      </c>
      <c r="Q36" s="118">
        <f>ELC_CEN!Q49</f>
        <v>1.0101010101010102</v>
      </c>
      <c r="R36" s="118"/>
      <c r="S36" s="118"/>
      <c r="T36" s="118">
        <f>ELC_CEN!T49</f>
        <v>6.7050000000000001</v>
      </c>
      <c r="U36" s="118">
        <f>ELC_CEN!U49</f>
        <v>6.9284999999999999E-2</v>
      </c>
      <c r="V36" s="118">
        <f>ELC_CEN!V49</f>
        <v>10.554166666666665</v>
      </c>
      <c r="W36" s="118"/>
      <c r="X36" s="118"/>
      <c r="Y36" s="118"/>
      <c r="Z36" s="119"/>
      <c r="AA36" s="123">
        <f>ELC_CEN!AA49</f>
        <v>60</v>
      </c>
      <c r="AB36" s="123">
        <f>ELC_CEN!AB49</f>
        <v>280</v>
      </c>
      <c r="AC36" s="123">
        <f>ELC_CEN!AC49</f>
        <v>0.6</v>
      </c>
      <c r="AD36" s="123"/>
      <c r="AF36" s="118"/>
      <c r="AG36" s="19"/>
      <c r="AI36"/>
      <c r="AJ36"/>
      <c r="AK36"/>
      <c r="AL36"/>
      <c r="AM36"/>
      <c r="AN36"/>
      <c r="AO36"/>
      <c r="AP36"/>
      <c r="AQ36"/>
    </row>
    <row r="37" spans="1:43" s="8" customFormat="1">
      <c r="A37" s="116"/>
      <c r="B37" s="116"/>
      <c r="C37" s="116"/>
      <c r="D37" s="121"/>
      <c r="E37" s="319" t="s">
        <v>551</v>
      </c>
      <c r="F37" s="116">
        <f>ELC_CEN!F50</f>
        <v>2050</v>
      </c>
      <c r="G37" s="116"/>
      <c r="H37" s="118"/>
      <c r="I37" s="118"/>
      <c r="J37" s="118"/>
      <c r="K37" s="118">
        <f>ELC_CEN!K50</f>
        <v>0.5</v>
      </c>
      <c r="L37" s="118"/>
      <c r="M37" s="118"/>
      <c r="N37" s="163"/>
      <c r="O37" s="118">
        <f>ELC_CEN!O50</f>
        <v>0.98076923076923073</v>
      </c>
      <c r="P37" s="118">
        <f>ELC_CEN!P50</f>
        <v>1.04</v>
      </c>
      <c r="Q37" s="118">
        <f>ELC_CEN!Q50</f>
        <v>0.96153846153846145</v>
      </c>
      <c r="R37" s="118"/>
      <c r="S37" s="118"/>
      <c r="T37" s="118">
        <f>ELC_CEN!T50</f>
        <v>6.3324999999999996</v>
      </c>
      <c r="U37" s="118">
        <f>ELC_CEN!U50</f>
        <v>6.3325000000000006E-2</v>
      </c>
      <c r="V37" s="118">
        <f>ELC_CEN!V50</f>
        <v>10.140277777777778</v>
      </c>
      <c r="W37" s="118"/>
      <c r="X37" s="118"/>
      <c r="Y37" s="118"/>
      <c r="Z37" s="119"/>
      <c r="AA37" s="123">
        <f>ELC_CEN!AA50</f>
        <v>60</v>
      </c>
      <c r="AB37" s="123">
        <f>ELC_CEN!AB50</f>
        <v>250</v>
      </c>
      <c r="AC37" s="123">
        <f>ELC_CEN!AC50</f>
        <v>0.6</v>
      </c>
      <c r="AD37" s="123"/>
      <c r="AF37" s="118"/>
    </row>
    <row r="38" spans="1:43" s="8" customFormat="1">
      <c r="A38" s="116" t="s">
        <v>473</v>
      </c>
      <c r="B38" s="116" t="s">
        <v>125</v>
      </c>
      <c r="C38" s="116" t="str">
        <f>ELC_CEN!C59</f>
        <v>ELCWST</v>
      </c>
      <c r="D38" s="121" t="s">
        <v>26</v>
      </c>
      <c r="E38" s="319" t="s">
        <v>551</v>
      </c>
      <c r="F38" s="116">
        <v>2011</v>
      </c>
      <c r="G38" s="116">
        <v>2011</v>
      </c>
      <c r="H38" s="120">
        <f>ELC_CEN!H59</f>
        <v>7.9</v>
      </c>
      <c r="I38" s="118"/>
      <c r="J38" s="118"/>
      <c r="K38" s="118">
        <f>ELC_CEN!K59</f>
        <v>0.22600000000000001</v>
      </c>
      <c r="L38" s="118"/>
      <c r="M38" s="118"/>
      <c r="N38" s="163"/>
      <c r="O38" s="118">
        <f>ELC_CEN!O59</f>
        <v>1.0053103448275864</v>
      </c>
      <c r="P38" s="118">
        <f>ELC_CEN!P59</f>
        <v>0.28999999999999998</v>
      </c>
      <c r="Q38" s="118">
        <f>ELC_CEN!Q59</f>
        <v>3.4482758620689657</v>
      </c>
      <c r="R38" s="103"/>
      <c r="S38" s="118"/>
      <c r="T38" s="118">
        <f>ELC_CEN!T59</f>
        <v>79.715000000000003</v>
      </c>
      <c r="U38" s="118">
        <f>ELC_CEN!U59</f>
        <v>2.98</v>
      </c>
      <c r="V38" s="118">
        <f>ELC_CEN!V59</f>
        <v>52.977777777777781</v>
      </c>
      <c r="W38" s="118">
        <f>ELC_CEN!W59</f>
        <v>3.1536000000000002E-2</v>
      </c>
      <c r="X38" s="118">
        <f>ELC_CEN!X59</f>
        <v>0.94</v>
      </c>
      <c r="Y38" s="118">
        <f>ELC_CEN!Y59</f>
        <v>1</v>
      </c>
      <c r="Z38" s="119">
        <f>ELC_CEN!Z59</f>
        <v>25</v>
      </c>
      <c r="AA38" s="123">
        <f>ELC_CEN!AA59</f>
        <v>90</v>
      </c>
      <c r="AB38" s="123">
        <f>ELC_CEN!AB59</f>
        <v>0.3</v>
      </c>
      <c r="AC38" s="123">
        <f>ELC_CEN!AC59</f>
        <v>0</v>
      </c>
      <c r="AD38" s="123">
        <f>ELC_CEN!AD59</f>
        <v>4.8600000000000048</v>
      </c>
      <c r="AF38" s="118">
        <f>ELC_CEN!AF59</f>
        <v>3</v>
      </c>
    </row>
    <row r="39" spans="1:43" s="8" customFormat="1">
      <c r="A39" s="116"/>
      <c r="B39" s="116"/>
      <c r="C39" s="116"/>
      <c r="D39" s="121" t="s">
        <v>138</v>
      </c>
      <c r="E39" s="319" t="s">
        <v>551</v>
      </c>
      <c r="F39" s="116">
        <f>ELC_CEN!F52</f>
        <v>2020</v>
      </c>
      <c r="G39" s="116"/>
      <c r="H39" s="118"/>
      <c r="I39" s="118"/>
      <c r="J39" s="118"/>
      <c r="K39" s="118">
        <f>ELC_CEN!K60</f>
        <v>0.22600000000000001</v>
      </c>
      <c r="L39" s="118"/>
      <c r="M39" s="118"/>
      <c r="N39" s="163"/>
      <c r="O39" s="118">
        <f>ELC_CEN!O60</f>
        <v>1.0053103448275864</v>
      </c>
      <c r="P39" s="118">
        <f>ELC_CEN!P60</f>
        <v>0.28999999999999998</v>
      </c>
      <c r="Q39" s="118">
        <f>ELC_CEN!Q60</f>
        <v>3.4482758620689657</v>
      </c>
      <c r="R39" s="103"/>
      <c r="S39" s="118"/>
      <c r="T39" s="118">
        <f>ELC_CEN!T60</f>
        <v>78.225000000000009</v>
      </c>
      <c r="U39" s="118">
        <f>ELC_CEN!U60</f>
        <v>2.9055</v>
      </c>
      <c r="V39" s="118">
        <f>ELC_CEN!V60</f>
        <v>52.977777777777781</v>
      </c>
      <c r="W39" s="118"/>
      <c r="X39" s="118"/>
      <c r="Y39" s="118"/>
      <c r="Z39" s="119"/>
      <c r="AA39" s="123">
        <f>ELC_CEN!AA60</f>
        <v>70</v>
      </c>
      <c r="AB39" s="123">
        <f>ELC_CEN!AB60</f>
        <v>0.1</v>
      </c>
      <c r="AC39" s="123">
        <f>ELC_CEN!AC60</f>
        <v>1</v>
      </c>
      <c r="AD39" s="123">
        <f>ELC_CEN!AD60</f>
        <v>4.3199999999999736</v>
      </c>
      <c r="AF39" s="118"/>
    </row>
    <row r="40" spans="1:43" s="8" customFormat="1">
      <c r="A40" s="116"/>
      <c r="B40" s="116"/>
      <c r="C40" s="116"/>
      <c r="D40" s="121"/>
      <c r="E40" s="319" t="s">
        <v>551</v>
      </c>
      <c r="F40" s="116">
        <f>ELC_CEN!F53</f>
        <v>2030</v>
      </c>
      <c r="G40" s="116"/>
      <c r="H40" s="118"/>
      <c r="I40" s="118"/>
      <c r="J40" s="118"/>
      <c r="K40" s="118">
        <f>ELC_CEN!K61</f>
        <v>0.23499999999999999</v>
      </c>
      <c r="L40" s="118"/>
      <c r="M40" s="118"/>
      <c r="N40" s="163"/>
      <c r="O40" s="118">
        <f>ELC_CEN!O61</f>
        <v>1.0183333333333333</v>
      </c>
      <c r="P40" s="118">
        <f>ELC_CEN!P61</f>
        <v>0.3</v>
      </c>
      <c r="Q40" s="118">
        <f>ELC_CEN!Q61</f>
        <v>3.3333333333333335</v>
      </c>
      <c r="R40" s="103"/>
      <c r="S40" s="118"/>
      <c r="T40" s="118">
        <f>ELC_CEN!T61</f>
        <v>71.52</v>
      </c>
      <c r="U40" s="118">
        <f>ELC_CEN!U61</f>
        <v>2.6074999999999999</v>
      </c>
      <c r="V40" s="118">
        <f>ELC_CEN!V61</f>
        <v>50.908333333333331</v>
      </c>
      <c r="W40" s="118"/>
      <c r="X40" s="118"/>
      <c r="Y40" s="118"/>
      <c r="Z40" s="119"/>
      <c r="AA40" s="123">
        <f>ELC_CEN!AA61</f>
        <v>60</v>
      </c>
      <c r="AB40" s="123">
        <f>ELC_CEN!AB61</f>
        <v>0.1</v>
      </c>
      <c r="AC40" s="123">
        <f>ELC_CEN!AC61</f>
        <v>1</v>
      </c>
      <c r="AD40" s="123">
        <f>ELC_CEN!AD61</f>
        <v>4.3199999999999736</v>
      </c>
      <c r="AF40" s="118"/>
    </row>
    <row r="41" spans="1:43" s="8" customFormat="1">
      <c r="A41" s="116"/>
      <c r="B41" s="116"/>
      <c r="C41" s="116"/>
      <c r="D41" s="121"/>
      <c r="E41" s="319" t="s">
        <v>551</v>
      </c>
      <c r="F41" s="116">
        <f>ELC_CEN!F54</f>
        <v>2050</v>
      </c>
      <c r="G41" s="116"/>
      <c r="H41" s="118"/>
      <c r="I41" s="118"/>
      <c r="J41" s="118"/>
      <c r="K41" s="118">
        <f>ELC_CEN!K62</f>
        <v>0.23699999999999999</v>
      </c>
      <c r="L41" s="118"/>
      <c r="M41" s="118"/>
      <c r="N41" s="163"/>
      <c r="O41" s="118">
        <f>ELC_CEN!O62</f>
        <v>1.0270000000000001</v>
      </c>
      <c r="P41" s="118">
        <f>ELC_CEN!P62</f>
        <v>0.3</v>
      </c>
      <c r="Q41" s="118">
        <f>ELC_CEN!Q62</f>
        <v>3.3333333333333335</v>
      </c>
      <c r="R41" s="103"/>
      <c r="S41" s="118"/>
      <c r="T41" s="118">
        <f>ELC_CEN!T62</f>
        <v>65.56</v>
      </c>
      <c r="U41" s="118">
        <f>ELC_CEN!U62</f>
        <v>2.3094999999999999</v>
      </c>
      <c r="V41" s="118">
        <f>ELC_CEN!V62</f>
        <v>50.287499999999994</v>
      </c>
      <c r="W41" s="118"/>
      <c r="X41" s="118"/>
      <c r="Y41" s="118"/>
      <c r="Z41" s="119"/>
      <c r="AA41" s="123">
        <f>ELC_CEN!AA62</f>
        <v>20</v>
      </c>
      <c r="AB41" s="123">
        <f>ELC_CEN!AB62</f>
        <v>0.1</v>
      </c>
      <c r="AC41" s="123">
        <f>ELC_CEN!AC62</f>
        <v>0</v>
      </c>
      <c r="AD41" s="123">
        <f>ELC_CEN!AD62</f>
        <v>4.3199999999999736</v>
      </c>
      <c r="AF41" s="118"/>
    </row>
    <row r="42" spans="1:43" s="8" customFormat="1">
      <c r="A42" s="116" t="s">
        <v>474</v>
      </c>
      <c r="B42" s="116" t="s">
        <v>126</v>
      </c>
      <c r="C42" s="116" t="str">
        <f>ELC_CEN!C67</f>
        <v>ELCWCH</v>
      </c>
      <c r="D42" s="121" t="s">
        <v>26</v>
      </c>
      <c r="E42" s="319" t="s">
        <v>551</v>
      </c>
      <c r="F42" s="116">
        <f>ELC_CEN!F67</f>
        <v>2015</v>
      </c>
      <c r="G42" s="116">
        <f>ELC_CEN!G67</f>
        <v>2015</v>
      </c>
      <c r="H42" s="119">
        <f>ELC_CEN!H67</f>
        <v>23.1</v>
      </c>
      <c r="I42" s="118"/>
      <c r="J42" s="118"/>
      <c r="K42" s="118">
        <f>ELC_CEN!K67</f>
        <v>0.28899999999999998</v>
      </c>
      <c r="L42" s="118"/>
      <c r="M42" s="118"/>
      <c r="N42" s="163"/>
      <c r="O42" s="118">
        <f>ELC_CEN!O67</f>
        <v>1.1389999999999998</v>
      </c>
      <c r="P42" s="118">
        <f>ELC_CEN!P67</f>
        <v>0.34</v>
      </c>
      <c r="Q42" s="118">
        <f>ELC_CEN!Q67</f>
        <v>2.9411764705882351</v>
      </c>
      <c r="R42" s="118"/>
      <c r="S42" s="118"/>
      <c r="T42" s="118">
        <f>ELC_CEN!T67</f>
        <v>29.055</v>
      </c>
      <c r="U42" s="118">
        <f>ELC_CEN!U67</f>
        <v>1.1174999999999999</v>
      </c>
      <c r="V42" s="118">
        <f>ELC_CEN!V67</f>
        <v>7.863888888888888</v>
      </c>
      <c r="W42" s="118">
        <f>ELC_CEN!W67</f>
        <v>3.1536000000000002E-2</v>
      </c>
      <c r="X42" s="118">
        <f>ELC_CEN!X67</f>
        <v>0.95</v>
      </c>
      <c r="Y42" s="118">
        <f>ELC_CEN!Y67</f>
        <v>1</v>
      </c>
      <c r="Z42" s="119">
        <f>ELC_CEN!Z67</f>
        <v>25</v>
      </c>
      <c r="AA42" s="123">
        <f>ELC_CEN!AA67</f>
        <v>90</v>
      </c>
      <c r="AB42" s="123">
        <f>ELC_CEN!AB67</f>
        <v>3</v>
      </c>
      <c r="AC42" s="123">
        <f>ELC_CEN!AC67</f>
        <v>1</v>
      </c>
      <c r="AD42" s="123">
        <f>ELC_CEN!AD67</f>
        <v>1.9</v>
      </c>
      <c r="AF42" s="118">
        <f>ELC_CEN!AF67</f>
        <v>2.5</v>
      </c>
    </row>
    <row r="43" spans="1:43" s="8" customFormat="1">
      <c r="A43" s="116"/>
      <c r="B43" s="116"/>
      <c r="C43" s="116"/>
      <c r="D43" s="121" t="s">
        <v>138</v>
      </c>
      <c r="E43" s="319" t="s">
        <v>551</v>
      </c>
      <c r="F43" s="116">
        <f>ELC_CEN!F68</f>
        <v>2020</v>
      </c>
      <c r="G43" s="116"/>
      <c r="H43" s="118"/>
      <c r="I43" s="118"/>
      <c r="J43" s="118"/>
      <c r="K43" s="118">
        <f>ELC_CEN!K68</f>
        <v>0.28899999999999998</v>
      </c>
      <c r="L43" s="118"/>
      <c r="M43" s="118"/>
      <c r="N43" s="163"/>
      <c r="O43" s="118">
        <f>ELC_CEN!O68</f>
        <v>1.1389999999999998</v>
      </c>
      <c r="P43" s="118">
        <f>ELC_CEN!P68</f>
        <v>0.34</v>
      </c>
      <c r="Q43" s="118">
        <f>ELC_CEN!Q68</f>
        <v>2.9411764705882351</v>
      </c>
      <c r="R43" s="118"/>
      <c r="S43" s="118"/>
      <c r="T43" s="118">
        <f>ELC_CEN!T68</f>
        <v>28.31</v>
      </c>
      <c r="U43" s="118">
        <f>ELC_CEN!U68</f>
        <v>1.0429999999999999</v>
      </c>
      <c r="V43" s="118">
        <f>ELC_CEN!V68</f>
        <v>7.863888888888888</v>
      </c>
      <c r="W43" s="118"/>
      <c r="X43" s="118"/>
      <c r="Y43" s="118"/>
      <c r="Z43" s="119"/>
      <c r="AA43" s="123">
        <f>ELC_CEN!AA68</f>
        <v>70</v>
      </c>
      <c r="AB43" s="123">
        <f>ELC_CEN!AB68</f>
        <v>2</v>
      </c>
      <c r="AC43" s="123">
        <f>ELC_CEN!AC68</f>
        <v>1</v>
      </c>
      <c r="AD43" s="123">
        <f>ELC_CEN!AD68</f>
        <v>1.9</v>
      </c>
      <c r="AF43" s="118"/>
    </row>
    <row r="44" spans="1:43" s="8" customFormat="1">
      <c r="A44" s="116"/>
      <c r="B44" s="116"/>
      <c r="C44" s="116"/>
      <c r="D44" s="121"/>
      <c r="E44" s="319" t="s">
        <v>551</v>
      </c>
      <c r="F44" s="116">
        <f>ELC_CEN!F69</f>
        <v>2030</v>
      </c>
      <c r="G44" s="116"/>
      <c r="H44" s="118"/>
      <c r="I44" s="118"/>
      <c r="J44" s="118"/>
      <c r="K44" s="118">
        <f>ELC_CEN!K69</f>
        <v>0.28999999999999998</v>
      </c>
      <c r="L44" s="118"/>
      <c r="M44" s="118"/>
      <c r="N44" s="163"/>
      <c r="O44" s="118">
        <f>ELC_CEN!O69</f>
        <v>1.1185714285714285</v>
      </c>
      <c r="P44" s="118">
        <f>ELC_CEN!P69</f>
        <v>0.35</v>
      </c>
      <c r="Q44" s="118">
        <f>ELC_CEN!Q69</f>
        <v>2.8571428571428572</v>
      </c>
      <c r="R44" s="118"/>
      <c r="S44" s="118"/>
      <c r="T44" s="118">
        <f>ELC_CEN!T69</f>
        <v>26.82</v>
      </c>
      <c r="U44" s="118">
        <f>ELC_CEN!U69</f>
        <v>0.96850000000000003</v>
      </c>
      <c r="V44" s="118">
        <f>ELC_CEN!V69</f>
        <v>7.863888888888888</v>
      </c>
      <c r="W44" s="118"/>
      <c r="X44" s="118"/>
      <c r="Y44" s="118"/>
      <c r="Z44" s="119"/>
      <c r="AA44" s="123">
        <f>ELC_CEN!AA69</f>
        <v>40</v>
      </c>
      <c r="AB44" s="123">
        <f>ELC_CEN!AB69</f>
        <v>2</v>
      </c>
      <c r="AC44" s="123">
        <f>ELC_CEN!AC69</f>
        <v>1</v>
      </c>
      <c r="AD44" s="123">
        <f>ELC_CEN!AD69</f>
        <v>1.9</v>
      </c>
      <c r="AF44" s="118"/>
    </row>
    <row r="45" spans="1:43" s="8" customFormat="1">
      <c r="A45" s="116"/>
      <c r="B45" s="116"/>
      <c r="C45" s="116"/>
      <c r="D45" s="121"/>
      <c r="E45" s="319" t="s">
        <v>551</v>
      </c>
      <c r="F45" s="116">
        <f>ELC_CEN!F70</f>
        <v>2050</v>
      </c>
      <c r="G45" s="116"/>
      <c r="H45" s="118"/>
      <c r="I45" s="118"/>
      <c r="J45" s="118"/>
      <c r="K45" s="118">
        <f>ELC_CEN!K70</f>
        <v>0.28499999999999998</v>
      </c>
      <c r="L45" s="118"/>
      <c r="M45" s="118"/>
      <c r="N45" s="163"/>
      <c r="O45" s="118">
        <f>ELC_CEN!O70</f>
        <v>1.1232352941176469</v>
      </c>
      <c r="P45" s="118">
        <f>ELC_CEN!P70</f>
        <v>0.34</v>
      </c>
      <c r="Q45" s="118">
        <f>ELC_CEN!Q70</f>
        <v>2.9411764705882351</v>
      </c>
      <c r="R45" s="118"/>
      <c r="S45" s="118"/>
      <c r="T45" s="118">
        <f>ELC_CEN!T70</f>
        <v>24.585000000000001</v>
      </c>
      <c r="U45" s="118">
        <f>ELC_CEN!U70</f>
        <v>0.89400000000000002</v>
      </c>
      <c r="V45" s="118">
        <f>ELC_CEN!V70</f>
        <v>8.0708333333333329</v>
      </c>
      <c r="W45" s="118"/>
      <c r="X45" s="118"/>
      <c r="Y45" s="118"/>
      <c r="Z45" s="119"/>
      <c r="AA45" s="123">
        <f>ELC_CEN!AA70</f>
        <v>20</v>
      </c>
      <c r="AB45" s="123">
        <f>ELC_CEN!AB70</f>
        <v>1</v>
      </c>
      <c r="AC45" s="123">
        <f>ELC_CEN!AC70</f>
        <v>0</v>
      </c>
      <c r="AD45" s="123">
        <f>ELC_CEN!AD70</f>
        <v>1.9</v>
      </c>
      <c r="AF45" s="118"/>
    </row>
    <row r="46" spans="1:43" s="8" customFormat="1">
      <c r="A46" s="116" t="s">
        <v>475</v>
      </c>
      <c r="B46" s="116" t="s">
        <v>127</v>
      </c>
      <c r="C46" s="116" t="str">
        <f>ELC_CEN!C71</f>
        <v>ELCWCH</v>
      </c>
      <c r="D46" s="121" t="s">
        <v>26</v>
      </c>
      <c r="E46" s="319" t="s">
        <v>551</v>
      </c>
      <c r="F46" s="116">
        <f>ELC_CEN!F71</f>
        <v>2015</v>
      </c>
      <c r="G46" s="116">
        <f>ELC_CEN!G71</f>
        <v>2015</v>
      </c>
      <c r="H46" s="120">
        <f>ELC_CEN!H71</f>
        <v>3.2</v>
      </c>
      <c r="I46" s="118"/>
      <c r="J46" s="118"/>
      <c r="K46" s="118">
        <f>ELC_CEN!K71</f>
        <v>0.161</v>
      </c>
      <c r="L46" s="118"/>
      <c r="M46" s="118"/>
      <c r="N46" s="163"/>
      <c r="O46" s="118">
        <f>ELC_CEN!O71</f>
        <v>1.1672500000000001</v>
      </c>
      <c r="P46" s="118">
        <f>ELC_CEN!P71</f>
        <v>0.16</v>
      </c>
      <c r="Q46" s="118">
        <f>ELC_CEN!Q71</f>
        <v>6.25</v>
      </c>
      <c r="R46" s="118"/>
      <c r="S46" s="118"/>
      <c r="T46" s="118">
        <f>ELC_CEN!T71</f>
        <v>46.190000000000005</v>
      </c>
      <c r="U46" s="118">
        <f>ELC_CEN!U71</f>
        <v>2.0859999999999999</v>
      </c>
      <c r="V46" s="118">
        <f>ELC_CEN!V71</f>
        <v>14.279166666666667</v>
      </c>
      <c r="W46" s="118">
        <f>ELC_CEN!W71</f>
        <v>3.1536000000000002E-2</v>
      </c>
      <c r="X46" s="118">
        <f>ELC_CEN!X71</f>
        <v>0.95</v>
      </c>
      <c r="Y46" s="118">
        <f>ELC_CEN!Y71</f>
        <v>1</v>
      </c>
      <c r="Z46" s="119">
        <f>ELC_CEN!Z71</f>
        <v>25</v>
      </c>
      <c r="AA46" s="123">
        <f>ELC_CEN!AA71</f>
        <v>90</v>
      </c>
      <c r="AB46" s="123">
        <f>ELC_CEN!AB71</f>
        <v>20</v>
      </c>
      <c r="AC46" s="123">
        <f>ELC_CEN!AC71</f>
        <v>1</v>
      </c>
      <c r="AD46" s="123">
        <f>ELC_CEN!AD71</f>
        <v>1.9</v>
      </c>
      <c r="AF46" s="118">
        <f>ELC_CEN!AF71</f>
        <v>1</v>
      </c>
    </row>
    <row r="47" spans="1:43" s="8" customFormat="1">
      <c r="A47" s="116"/>
      <c r="B47" s="116"/>
      <c r="C47" s="116"/>
      <c r="D47" s="121" t="s">
        <v>138</v>
      </c>
      <c r="E47" s="319" t="s">
        <v>551</v>
      </c>
      <c r="F47" s="116">
        <f>ELC_CEN!F72</f>
        <v>2020</v>
      </c>
      <c r="G47" s="116"/>
      <c r="H47" s="118"/>
      <c r="I47" s="118"/>
      <c r="J47" s="118"/>
      <c r="K47" s="118">
        <f>ELC_CEN!K72</f>
        <v>0.161</v>
      </c>
      <c r="L47" s="118"/>
      <c r="M47" s="118"/>
      <c r="N47" s="163"/>
      <c r="O47" s="118">
        <f>ELC_CEN!O72</f>
        <v>1.1672500000000001</v>
      </c>
      <c r="P47" s="118">
        <f>ELC_CEN!P72</f>
        <v>0.16</v>
      </c>
      <c r="Q47" s="118">
        <f>ELC_CEN!Q72</f>
        <v>6.25</v>
      </c>
      <c r="R47" s="118"/>
      <c r="S47" s="118"/>
      <c r="T47" s="118">
        <f>ELC_CEN!T72</f>
        <v>44.7</v>
      </c>
      <c r="U47" s="118">
        <f>ELC_CEN!U72</f>
        <v>2.0859999999999999</v>
      </c>
      <c r="V47" s="118">
        <f>ELC_CEN!V72</f>
        <v>14.279166666666667</v>
      </c>
      <c r="W47" s="118"/>
      <c r="X47" s="118"/>
      <c r="Y47" s="118"/>
      <c r="Z47" s="119"/>
      <c r="AA47" s="123">
        <f>ELC_CEN!AA72</f>
        <v>60</v>
      </c>
      <c r="AB47" s="123">
        <f>ELC_CEN!AB72</f>
        <v>10</v>
      </c>
      <c r="AC47" s="123">
        <f>ELC_CEN!AC72</f>
        <v>1</v>
      </c>
      <c r="AD47" s="123">
        <f>ELC_CEN!AD72</f>
        <v>1.9</v>
      </c>
      <c r="AF47" s="118"/>
    </row>
    <row r="48" spans="1:43" s="8" customFormat="1">
      <c r="A48" s="116"/>
      <c r="B48" s="116"/>
      <c r="C48" s="116"/>
      <c r="D48" s="121"/>
      <c r="E48" s="319" t="s">
        <v>551</v>
      </c>
      <c r="F48" s="116">
        <f>ELC_CEN!F73</f>
        <v>2030</v>
      </c>
      <c r="G48" s="116"/>
      <c r="H48" s="118"/>
      <c r="I48" s="118"/>
      <c r="J48" s="118"/>
      <c r="K48" s="118">
        <f>ELC_CEN!K73</f>
        <v>0.161</v>
      </c>
      <c r="L48" s="118"/>
      <c r="M48" s="118"/>
      <c r="N48" s="163"/>
      <c r="O48" s="118">
        <f>ELC_CEN!O73</f>
        <v>1.1672500000000001</v>
      </c>
      <c r="P48" s="118">
        <f>ELC_CEN!P73</f>
        <v>0.16</v>
      </c>
      <c r="Q48" s="118">
        <f>ELC_CEN!Q73</f>
        <v>6.25</v>
      </c>
      <c r="R48" s="118"/>
      <c r="S48" s="118"/>
      <c r="T48" s="118">
        <f>ELC_CEN!T73</f>
        <v>42.465000000000003</v>
      </c>
      <c r="U48" s="118">
        <f>ELC_CEN!U73</f>
        <v>2.0859999999999999</v>
      </c>
      <c r="V48" s="118">
        <f>ELC_CEN!V73</f>
        <v>14.279166666666667</v>
      </c>
      <c r="W48" s="118"/>
      <c r="X48" s="118"/>
      <c r="Y48" s="118"/>
      <c r="Z48" s="119"/>
      <c r="AA48" s="123">
        <f>ELC_CEN!AA73</f>
        <v>40</v>
      </c>
      <c r="AB48" s="123">
        <f>ELC_CEN!AB73</f>
        <v>8</v>
      </c>
      <c r="AC48" s="123">
        <f>ELC_CEN!AC73</f>
        <v>1</v>
      </c>
      <c r="AD48" s="123">
        <f>ELC_CEN!AD73</f>
        <v>1.9</v>
      </c>
      <c r="AF48" s="118"/>
    </row>
    <row r="49" spans="1:32" s="8" customFormat="1">
      <c r="A49" s="116"/>
      <c r="B49" s="116"/>
      <c r="C49" s="116"/>
      <c r="D49" s="121"/>
      <c r="E49" s="319" t="s">
        <v>551</v>
      </c>
      <c r="F49" s="116">
        <f>ELC_CEN!F74</f>
        <v>2050</v>
      </c>
      <c r="G49" s="116"/>
      <c r="H49" s="118"/>
      <c r="I49" s="118"/>
      <c r="J49" s="118"/>
      <c r="K49" s="118">
        <f>ELC_CEN!K74</f>
        <v>0.161</v>
      </c>
      <c r="L49" s="118"/>
      <c r="M49" s="118"/>
      <c r="N49" s="163"/>
      <c r="O49" s="118">
        <f>ELC_CEN!O74</f>
        <v>1.1672500000000001</v>
      </c>
      <c r="P49" s="118">
        <f>ELC_CEN!P74</f>
        <v>0.16</v>
      </c>
      <c r="Q49" s="118">
        <f>ELC_CEN!Q74</f>
        <v>6.25</v>
      </c>
      <c r="R49" s="118"/>
      <c r="S49" s="118"/>
      <c r="T49" s="118">
        <f>ELC_CEN!T74</f>
        <v>38.74</v>
      </c>
      <c r="U49" s="118">
        <f>ELC_CEN!U74</f>
        <v>1.9370000000000001</v>
      </c>
      <c r="V49" s="118">
        <f>ELC_CEN!V74</f>
        <v>14.279166666666667</v>
      </c>
      <c r="W49" s="118"/>
      <c r="X49" s="118"/>
      <c r="Y49" s="118"/>
      <c r="Z49" s="119"/>
      <c r="AA49" s="123">
        <f>ELC_CEN!AA74</f>
        <v>30</v>
      </c>
      <c r="AB49" s="123">
        <f>ELC_CEN!AB74</f>
        <v>4</v>
      </c>
      <c r="AC49" s="123">
        <f>ELC_CEN!AC74</f>
        <v>0</v>
      </c>
      <c r="AD49" s="123">
        <f>ELC_CEN!AD74</f>
        <v>1.9</v>
      </c>
      <c r="AF49" s="118"/>
    </row>
    <row r="50" spans="1:32" s="8" customFormat="1">
      <c r="A50" s="116" t="s">
        <v>476</v>
      </c>
      <c r="B50" s="116" t="s">
        <v>128</v>
      </c>
      <c r="C50" s="116" t="str">
        <f>ELC_CEN!C79</f>
        <v>ELCSTR</v>
      </c>
      <c r="D50" s="121" t="s">
        <v>26</v>
      </c>
      <c r="E50" s="319" t="s">
        <v>551</v>
      </c>
      <c r="F50" s="116">
        <f>ELC_CEN!F79</f>
        <v>2015</v>
      </c>
      <c r="G50" s="116">
        <f>ELC_CEN!G79</f>
        <v>2015</v>
      </c>
      <c r="H50" s="119">
        <f>ELC_CEN!H79</f>
        <v>24.9</v>
      </c>
      <c r="I50" s="118"/>
      <c r="J50" s="118"/>
      <c r="K50" s="118">
        <f>ELC_CEN!K79</f>
        <v>0.311</v>
      </c>
      <c r="L50" s="118"/>
      <c r="M50" s="118"/>
      <c r="N50" s="163"/>
      <c r="O50" s="118">
        <f>ELC_CEN!O79</f>
        <v>1.0021111111111112</v>
      </c>
      <c r="P50" s="118">
        <f>ELC_CEN!P79</f>
        <v>0.45</v>
      </c>
      <c r="Q50" s="118">
        <f>ELC_CEN!Q79</f>
        <v>2.2222222222222223</v>
      </c>
      <c r="R50" s="118"/>
      <c r="S50" s="118"/>
      <c r="T50" s="118">
        <f>ELC_CEN!T79</f>
        <v>26.074999999999999</v>
      </c>
      <c r="U50" s="118">
        <f>ELC_CEN!U79</f>
        <v>1.0429999999999999</v>
      </c>
      <c r="V50" s="118">
        <f>ELC_CEN!V79</f>
        <v>3.931944444444444</v>
      </c>
      <c r="W50" s="118">
        <f>ELC_CEN!W79</f>
        <v>3.1536000000000002E-2</v>
      </c>
      <c r="X50" s="118">
        <f>ELC_CEN!X79</f>
        <v>0.95</v>
      </c>
      <c r="Y50" s="118">
        <f>ELC_CEN!Y79</f>
        <v>1</v>
      </c>
      <c r="Z50" s="119">
        <f>ELC_CEN!Z79</f>
        <v>25</v>
      </c>
      <c r="AA50" s="123">
        <f>ELC_CEN!AA79</f>
        <v>90</v>
      </c>
      <c r="AB50" s="123"/>
      <c r="AC50" s="123">
        <f>ELC_CEN!AC79</f>
        <v>1</v>
      </c>
      <c r="AD50" s="123">
        <f>ELC_CEN!AD79</f>
        <v>49</v>
      </c>
      <c r="AF50" s="118">
        <f>ELC_CEN!AF79</f>
        <v>2.5</v>
      </c>
    </row>
    <row r="51" spans="1:32" s="8" customFormat="1">
      <c r="A51" s="116"/>
      <c r="B51" s="116"/>
      <c r="C51" s="116"/>
      <c r="D51" s="121" t="s">
        <v>138</v>
      </c>
      <c r="E51" s="319" t="s">
        <v>551</v>
      </c>
      <c r="F51" s="116">
        <f>ELC_CEN!F80</f>
        <v>2020</v>
      </c>
      <c r="G51" s="116"/>
      <c r="H51" s="118"/>
      <c r="I51" s="118"/>
      <c r="J51" s="118"/>
      <c r="K51" s="118">
        <f>ELC_CEN!K80</f>
        <v>0.311</v>
      </c>
      <c r="L51" s="118"/>
      <c r="M51" s="118"/>
      <c r="N51" s="163"/>
      <c r="O51" s="118">
        <f>ELC_CEN!O80</f>
        <v>1.0021111111111112</v>
      </c>
      <c r="P51" s="118">
        <f>ELC_CEN!P80</f>
        <v>0.45</v>
      </c>
      <c r="Q51" s="118">
        <f>ELC_CEN!Q80</f>
        <v>2.2222222222222223</v>
      </c>
      <c r="R51" s="118"/>
      <c r="S51" s="118"/>
      <c r="T51" s="118">
        <f>ELC_CEN!T80</f>
        <v>25.33</v>
      </c>
      <c r="U51" s="118">
        <f>ELC_CEN!U80</f>
        <v>1.0429999999999999</v>
      </c>
      <c r="V51" s="118">
        <f>ELC_CEN!V80</f>
        <v>3.931944444444444</v>
      </c>
      <c r="W51" s="118"/>
      <c r="X51" s="118"/>
      <c r="Y51" s="118"/>
      <c r="Z51" s="119"/>
      <c r="AA51" s="123">
        <f>ELC_CEN!AA80</f>
        <v>70</v>
      </c>
      <c r="AB51" s="123"/>
      <c r="AC51" s="123">
        <f>ELC_CEN!AC80</f>
        <v>1</v>
      </c>
      <c r="AD51" s="123">
        <f>ELC_CEN!AD80</f>
        <v>49</v>
      </c>
      <c r="AF51" s="118"/>
    </row>
    <row r="52" spans="1:32" s="8" customFormat="1">
      <c r="A52" s="116"/>
      <c r="B52" s="116"/>
      <c r="C52" s="116"/>
      <c r="D52" s="121"/>
      <c r="E52" s="319" t="s">
        <v>551</v>
      </c>
      <c r="F52" s="116">
        <f>ELC_CEN!F81</f>
        <v>2030</v>
      </c>
      <c r="G52" s="116"/>
      <c r="H52" s="118"/>
      <c r="I52" s="118"/>
      <c r="J52" s="118"/>
      <c r="K52" s="118">
        <f>ELC_CEN!K81</f>
        <v>0.308</v>
      </c>
      <c r="L52" s="118"/>
      <c r="M52" s="118"/>
      <c r="N52" s="163"/>
      <c r="O52" s="118">
        <f>ELC_CEN!O81</f>
        <v>1.008</v>
      </c>
      <c r="P52" s="118">
        <f>ELC_CEN!P81</f>
        <v>0.44</v>
      </c>
      <c r="Q52" s="118">
        <f>ELC_CEN!Q81</f>
        <v>2.2727272727272729</v>
      </c>
      <c r="R52" s="118"/>
      <c r="S52" s="118"/>
      <c r="T52" s="118">
        <f>ELC_CEN!T81</f>
        <v>24.585000000000001</v>
      </c>
      <c r="U52" s="118">
        <f>ELC_CEN!U81</f>
        <v>0.96850000000000003</v>
      </c>
      <c r="V52" s="118">
        <f>ELC_CEN!V81</f>
        <v>3.931944444444444</v>
      </c>
      <c r="W52" s="118"/>
      <c r="X52" s="118"/>
      <c r="Y52" s="118"/>
      <c r="Z52" s="119"/>
      <c r="AA52" s="123">
        <f>ELC_CEN!AA81</f>
        <v>50</v>
      </c>
      <c r="AB52" s="123"/>
      <c r="AC52" s="123">
        <f>ELC_CEN!AC81</f>
        <v>1</v>
      </c>
      <c r="AD52" s="123">
        <f>ELC_CEN!AD81</f>
        <v>49</v>
      </c>
      <c r="AF52" s="118"/>
    </row>
    <row r="53" spans="1:32" s="8" customFormat="1">
      <c r="A53" s="116"/>
      <c r="B53" s="116"/>
      <c r="C53" s="116"/>
      <c r="D53" s="121"/>
      <c r="E53" s="319" t="s">
        <v>551</v>
      </c>
      <c r="F53" s="116">
        <f>ELC_CEN!F82</f>
        <v>2050</v>
      </c>
      <c r="G53" s="116"/>
      <c r="H53" s="118"/>
      <c r="I53" s="118"/>
      <c r="J53" s="118"/>
      <c r="K53" s="118">
        <f>ELC_CEN!K82</f>
        <v>0.308</v>
      </c>
      <c r="L53" s="118"/>
      <c r="M53" s="118"/>
      <c r="N53" s="163"/>
      <c r="O53" s="118">
        <f>ELC_CEN!O82</f>
        <v>1.008</v>
      </c>
      <c r="P53" s="118">
        <f>ELC_CEN!P82</f>
        <v>0.44</v>
      </c>
      <c r="Q53" s="118">
        <f>ELC_CEN!Q82</f>
        <v>2.2727272727272729</v>
      </c>
      <c r="R53" s="118"/>
      <c r="S53" s="118"/>
      <c r="T53" s="118">
        <f>ELC_CEN!T82</f>
        <v>22.35</v>
      </c>
      <c r="U53" s="118">
        <f>ELC_CEN!U82</f>
        <v>0.89400000000000002</v>
      </c>
      <c r="V53" s="118">
        <f>ELC_CEN!V82</f>
        <v>3.931944444444444</v>
      </c>
      <c r="W53" s="118"/>
      <c r="X53" s="118"/>
      <c r="Y53" s="118"/>
      <c r="Z53" s="119"/>
      <c r="AA53" s="123">
        <f>ELC_CEN!AA82</f>
        <v>30</v>
      </c>
      <c r="AB53" s="123"/>
      <c r="AC53" s="123">
        <f>ELC_CEN!AC82</f>
        <v>0</v>
      </c>
      <c r="AD53" s="123">
        <f>ELC_CEN!AD82</f>
        <v>49</v>
      </c>
      <c r="AF53" s="118"/>
    </row>
    <row r="54" spans="1:32" s="8" customFormat="1">
      <c r="A54" s="116" t="s">
        <v>477</v>
      </c>
      <c r="B54" s="116" t="s">
        <v>129</v>
      </c>
      <c r="C54" s="116" t="str">
        <f>ELC_CEN!C83</f>
        <v>ELCSTR</v>
      </c>
      <c r="D54" s="121" t="s">
        <v>26</v>
      </c>
      <c r="E54" s="319" t="s">
        <v>551</v>
      </c>
      <c r="F54" s="116">
        <f>ELC_CEN!F83</f>
        <v>2015</v>
      </c>
      <c r="G54" s="116">
        <f>ELC_CEN!G83</f>
        <v>2015</v>
      </c>
      <c r="H54" s="119">
        <f>ELC_CEN!H83</f>
        <v>3.3</v>
      </c>
      <c r="I54" s="118"/>
      <c r="J54" s="118"/>
      <c r="K54" s="118">
        <f>ELC_CEN!K83</f>
        <v>0.16700000000000001</v>
      </c>
      <c r="L54" s="118"/>
      <c r="M54" s="118"/>
      <c r="N54" s="163"/>
      <c r="O54" s="118">
        <f>ELC_CEN!O83</f>
        <v>1.0459473684210527</v>
      </c>
      <c r="P54" s="118">
        <f>ELC_CEN!P83</f>
        <v>0.19</v>
      </c>
      <c r="Q54" s="118">
        <f>ELC_CEN!Q83</f>
        <v>5.2631578947368425</v>
      </c>
      <c r="R54" s="118"/>
      <c r="S54" s="118"/>
      <c r="T54" s="118">
        <f>ELC_CEN!T83</f>
        <v>42.465000000000003</v>
      </c>
      <c r="U54" s="118">
        <f>ELC_CEN!U83</f>
        <v>1.9370000000000001</v>
      </c>
      <c r="V54" s="118">
        <f>ELC_CEN!V83</f>
        <v>7.45</v>
      </c>
      <c r="W54" s="118">
        <f>ELC_CEN!W83</f>
        <v>3.1536000000000002E-2</v>
      </c>
      <c r="X54" s="118">
        <f>ELC_CEN!X83</f>
        <v>0.95</v>
      </c>
      <c r="Y54" s="118">
        <f>ELC_CEN!Y83</f>
        <v>1</v>
      </c>
      <c r="Z54" s="119">
        <f>ELC_CEN!Z83</f>
        <v>25</v>
      </c>
      <c r="AA54" s="123">
        <f>ELC_CEN!AA83</f>
        <v>90</v>
      </c>
      <c r="AB54" s="123">
        <f>ELC_CEN!AB83</f>
        <v>16</v>
      </c>
      <c r="AC54" s="123">
        <f>ELC_CEN!AC83</f>
        <v>1</v>
      </c>
      <c r="AD54" s="123">
        <f>ELC_CEN!AD83</f>
        <v>49</v>
      </c>
      <c r="AF54" s="118">
        <f>ELC_CEN!AF83</f>
        <v>4</v>
      </c>
    </row>
    <row r="55" spans="1:32" s="8" customFormat="1">
      <c r="A55" s="116"/>
      <c r="B55" s="116"/>
      <c r="C55" s="116"/>
      <c r="D55" s="121" t="s">
        <v>138</v>
      </c>
      <c r="E55" s="319" t="s">
        <v>551</v>
      </c>
      <c r="F55" s="116">
        <f>ELC_CEN!F84</f>
        <v>2020</v>
      </c>
      <c r="G55" s="116"/>
      <c r="H55" s="118"/>
      <c r="I55" s="118"/>
      <c r="J55" s="118"/>
      <c r="K55" s="118">
        <f>ELC_CEN!K84</f>
        <v>0.16700000000000001</v>
      </c>
      <c r="L55" s="118"/>
      <c r="M55" s="118"/>
      <c r="N55" s="163"/>
      <c r="O55" s="118">
        <f>ELC_CEN!O84</f>
        <v>1.0459473684210527</v>
      </c>
      <c r="P55" s="118">
        <f>ELC_CEN!P84</f>
        <v>0.19</v>
      </c>
      <c r="Q55" s="118">
        <f>ELC_CEN!Q84</f>
        <v>5.2631578947368425</v>
      </c>
      <c r="R55" s="118"/>
      <c r="S55" s="118"/>
      <c r="T55" s="118">
        <f>ELC_CEN!T84</f>
        <v>41.72</v>
      </c>
      <c r="U55" s="118">
        <f>ELC_CEN!U84</f>
        <v>1.9370000000000001</v>
      </c>
      <c r="V55" s="118">
        <f>ELC_CEN!V84</f>
        <v>7.45</v>
      </c>
      <c r="W55" s="118"/>
      <c r="X55" s="118"/>
      <c r="Y55" s="118"/>
      <c r="Z55" s="119"/>
      <c r="AA55" s="123">
        <f>ELC_CEN!AA84</f>
        <v>70</v>
      </c>
      <c r="AB55" s="123">
        <f>ELC_CEN!AB84</f>
        <v>11</v>
      </c>
      <c r="AC55" s="123">
        <f>ELC_CEN!AC84</f>
        <v>1</v>
      </c>
      <c r="AD55" s="123">
        <f>ELC_CEN!AD84</f>
        <v>49</v>
      </c>
      <c r="AF55" s="118"/>
    </row>
    <row r="56" spans="1:32" s="8" customFormat="1">
      <c r="A56" s="116"/>
      <c r="B56" s="116"/>
      <c r="C56" s="116"/>
      <c r="D56" s="121"/>
      <c r="E56" s="319" t="s">
        <v>551</v>
      </c>
      <c r="F56" s="116">
        <f>ELC_CEN!F85</f>
        <v>2030</v>
      </c>
      <c r="G56" s="116"/>
      <c r="H56" s="118"/>
      <c r="I56" s="118"/>
      <c r="J56" s="118"/>
      <c r="K56" s="118">
        <f>ELC_CEN!K85</f>
        <v>0.16700000000000001</v>
      </c>
      <c r="L56" s="118"/>
      <c r="M56" s="118"/>
      <c r="N56" s="163"/>
      <c r="O56" s="118">
        <f>ELC_CEN!O85</f>
        <v>1.0459473684210527</v>
      </c>
      <c r="P56" s="118">
        <f>ELC_CEN!P85</f>
        <v>0.19</v>
      </c>
      <c r="Q56" s="118">
        <f>ELC_CEN!Q85</f>
        <v>5.2631578947368425</v>
      </c>
      <c r="R56" s="118"/>
      <c r="S56" s="118"/>
      <c r="T56" s="118">
        <f>ELC_CEN!T85</f>
        <v>39.484999999999999</v>
      </c>
      <c r="U56" s="118">
        <f>ELC_CEN!U85</f>
        <v>1.8625</v>
      </c>
      <c r="V56" s="118">
        <f>ELC_CEN!V85</f>
        <v>7.45</v>
      </c>
      <c r="W56" s="118"/>
      <c r="X56" s="118"/>
      <c r="Y56" s="118"/>
      <c r="Z56" s="119"/>
      <c r="AA56" s="123">
        <f>ELC_CEN!AA85</f>
        <v>50</v>
      </c>
      <c r="AB56" s="123">
        <f>ELC_CEN!AB85</f>
        <v>8</v>
      </c>
      <c r="AC56" s="123">
        <f>ELC_CEN!AC85</f>
        <v>1</v>
      </c>
      <c r="AD56" s="123">
        <f>ELC_CEN!AD85</f>
        <v>49</v>
      </c>
      <c r="AF56" s="118"/>
    </row>
    <row r="57" spans="1:32" s="8" customFormat="1">
      <c r="A57" s="116"/>
      <c r="B57" s="116"/>
      <c r="C57" s="116"/>
      <c r="D57" s="121"/>
      <c r="E57" s="319" t="s">
        <v>551</v>
      </c>
      <c r="F57" s="116">
        <f>ELC_CEN!F86</f>
        <v>2050</v>
      </c>
      <c r="G57" s="116"/>
      <c r="H57" s="118"/>
      <c r="I57" s="118"/>
      <c r="J57" s="118"/>
      <c r="K57" s="118">
        <f>ELC_CEN!K86</f>
        <v>0.16700000000000001</v>
      </c>
      <c r="L57" s="118"/>
      <c r="M57" s="118"/>
      <c r="N57" s="163"/>
      <c r="O57" s="118">
        <f>ELC_CEN!O86</f>
        <v>1.0459473684210527</v>
      </c>
      <c r="P57" s="118">
        <f>ELC_CEN!P86</f>
        <v>0.19</v>
      </c>
      <c r="Q57" s="118">
        <f>ELC_CEN!Q86</f>
        <v>5.2631578947368425</v>
      </c>
      <c r="R57" s="118"/>
      <c r="S57" s="118"/>
      <c r="T57" s="118">
        <f>ELC_CEN!T86</f>
        <v>35.76</v>
      </c>
      <c r="U57" s="118">
        <f>ELC_CEN!U86</f>
        <v>1.788</v>
      </c>
      <c r="V57" s="118">
        <f>ELC_CEN!V86</f>
        <v>7.45</v>
      </c>
      <c r="W57" s="118"/>
      <c r="X57" s="118"/>
      <c r="Y57" s="118"/>
      <c r="Z57" s="119"/>
      <c r="AA57" s="123">
        <f>ELC_CEN!AA86</f>
        <v>40</v>
      </c>
      <c r="AB57" s="123">
        <f>ELC_CEN!AB86</f>
        <v>4</v>
      </c>
      <c r="AC57" s="123">
        <f>ELC_CEN!AC86</f>
        <v>0</v>
      </c>
      <c r="AD57" s="123">
        <f>ELC_CEN!AD86</f>
        <v>49</v>
      </c>
      <c r="AF57" s="118"/>
    </row>
    <row r="58" spans="1:32" s="8" customFormat="1">
      <c r="A58" t="s">
        <v>478</v>
      </c>
      <c r="B58" s="439" t="s">
        <v>130</v>
      </c>
      <c r="C58" s="116" t="str">
        <f>ELC_CEN!C113</f>
        <v>ELCAMB</v>
      </c>
      <c r="D58" s="121" t="s">
        <v>138</v>
      </c>
      <c r="E58" s="319" t="s">
        <v>551</v>
      </c>
      <c r="F58" s="116">
        <f>ELC_CEN!F113</f>
        <v>2015</v>
      </c>
      <c r="G58" s="116">
        <f>ELC_CEN!G113</f>
        <v>2015</v>
      </c>
      <c r="H58" s="119">
        <f>ELC_CEN!H113</f>
        <v>4</v>
      </c>
      <c r="I58" s="118">
        <f>ELC_CEN!I113</f>
        <v>0.2857142857142857</v>
      </c>
      <c r="J58" s="118"/>
      <c r="K58" s="118">
        <f>ELC_CEN!K113</f>
        <v>1</v>
      </c>
      <c r="L58" s="118">
        <f>ELC_CEN!L113</f>
        <v>0.2857142857142857</v>
      </c>
      <c r="M58" s="118">
        <f>ELC_CEN!M113</f>
        <v>0.7142857142857143</v>
      </c>
      <c r="N58" s="118">
        <f>ELC_CEN!N113</f>
        <v>0</v>
      </c>
      <c r="O58" s="116"/>
      <c r="P58" s="116"/>
      <c r="Q58" s="116"/>
      <c r="R58" s="116"/>
      <c r="S58" s="116"/>
      <c r="T58" s="118">
        <f>ELC_CEN!T113</f>
        <v>5.2149999999999999</v>
      </c>
      <c r="U58" s="118">
        <f>ELC_CEN!U113</f>
        <v>1.49E-2</v>
      </c>
      <c r="V58" s="118">
        <f>ELC_CEN!V113</f>
        <v>4.1388888888888893</v>
      </c>
      <c r="W58" s="118">
        <f>ELC_CEN!W113</f>
        <v>3.1536000000000002E-2</v>
      </c>
      <c r="X58" s="116">
        <f>ELC_CEN!X113</f>
        <v>0.98</v>
      </c>
      <c r="Y58" s="118">
        <f>ELC_CEN!Y113</f>
        <v>1</v>
      </c>
      <c r="Z58" s="116">
        <f>ELC_CEN!Z113</f>
        <v>25</v>
      </c>
      <c r="AA58" s="123"/>
      <c r="AB58" s="123"/>
      <c r="AC58" s="123"/>
      <c r="AD58" s="123"/>
      <c r="AF58" s="118">
        <f>ELC_CEN!AF113</f>
        <v>0.5</v>
      </c>
    </row>
    <row r="59" spans="1:32" s="8" customFormat="1">
      <c r="A59"/>
      <c r="B59" s="116"/>
      <c r="C59" s="116" t="str">
        <f>ELC_CEN!C114</f>
        <v>ELCC</v>
      </c>
      <c r="D59" s="121"/>
      <c r="E59" s="319" t="s">
        <v>551</v>
      </c>
      <c r="F59" s="116">
        <f>ELC_CEN!F114</f>
        <v>2020</v>
      </c>
      <c r="G59" s="116"/>
      <c r="H59" s="118"/>
      <c r="I59" s="118">
        <f>ELC_CEN!I114</f>
        <v>0.25</v>
      </c>
      <c r="J59" s="118"/>
      <c r="K59" s="118">
        <f>ELC_CEN!K114</f>
        <v>1</v>
      </c>
      <c r="L59" s="118">
        <f>ELC_CEN!L114</f>
        <v>0.25</v>
      </c>
      <c r="M59" s="118">
        <f>ELC_CEN!M114</f>
        <v>0.75</v>
      </c>
      <c r="N59" s="118">
        <f>ELC_CEN!N114</f>
        <v>0</v>
      </c>
      <c r="O59" s="116"/>
      <c r="P59" s="116"/>
      <c r="Q59" s="116"/>
      <c r="R59" s="116"/>
      <c r="S59" s="116"/>
      <c r="T59" s="118">
        <f>ELC_CEN!T114</f>
        <v>4.9170000000000007</v>
      </c>
      <c r="U59" s="118">
        <f>ELC_CEN!U114</f>
        <v>1.49E-2</v>
      </c>
      <c r="V59" s="118">
        <f>ELC_CEN!V114</f>
        <v>3.7250000000000001</v>
      </c>
      <c r="W59" s="118"/>
      <c r="X59" s="116"/>
      <c r="Y59" s="118"/>
      <c r="Z59" s="116"/>
      <c r="AA59" s="123"/>
      <c r="AB59" s="123"/>
      <c r="AC59" s="123"/>
      <c r="AD59" s="123"/>
      <c r="AE59" s="8">
        <v>5</v>
      </c>
      <c r="AF59" s="118"/>
    </row>
    <row r="60" spans="1:32" s="8" customFormat="1">
      <c r="A60" s="116"/>
      <c r="B60" s="116"/>
      <c r="C60" s="122"/>
      <c r="D60" s="121"/>
      <c r="E60" s="319" t="s">
        <v>551</v>
      </c>
      <c r="F60" s="116">
        <f>ELC_CEN!F115</f>
        <v>2030</v>
      </c>
      <c r="G60" s="116"/>
      <c r="H60" s="118"/>
      <c r="I60" s="118">
        <f>ELC_CEN!I115</f>
        <v>0.20833333333333334</v>
      </c>
      <c r="J60" s="118"/>
      <c r="K60" s="118">
        <f>ELC_CEN!K115</f>
        <v>1</v>
      </c>
      <c r="L60" s="118">
        <f>ELC_CEN!L115</f>
        <v>0.20833333333333334</v>
      </c>
      <c r="M60" s="118">
        <f>ELC_CEN!M115</f>
        <v>0.79166666666666663</v>
      </c>
      <c r="N60" s="118">
        <f>ELC_CEN!N115</f>
        <v>0</v>
      </c>
      <c r="O60" s="116"/>
      <c r="P60" s="116"/>
      <c r="Q60" s="116"/>
      <c r="R60" s="116"/>
      <c r="S60" s="116"/>
      <c r="T60" s="118">
        <f>ELC_CEN!T115</f>
        <v>4.3955000000000002</v>
      </c>
      <c r="U60" s="118">
        <f>ELC_CEN!U115</f>
        <v>1.49E-2</v>
      </c>
      <c r="V60" s="118">
        <f>ELC_CEN!V115</f>
        <v>3.5180555555555553</v>
      </c>
      <c r="W60" s="118"/>
      <c r="X60" s="116"/>
      <c r="Y60" s="118"/>
      <c r="Z60" s="116"/>
      <c r="AA60" s="123"/>
      <c r="AB60" s="123"/>
      <c r="AC60" s="123"/>
      <c r="AD60" s="123"/>
      <c r="AF60" s="118"/>
    </row>
    <row r="61" spans="1:32" s="8" customFormat="1">
      <c r="A61" s="116"/>
      <c r="B61" s="116"/>
      <c r="C61" s="122"/>
      <c r="D61" s="121"/>
      <c r="E61" s="319" t="s">
        <v>551</v>
      </c>
      <c r="F61" s="116">
        <f>ELC_CEN!F116</f>
        <v>2050</v>
      </c>
      <c r="G61" s="116"/>
      <c r="H61" s="118"/>
      <c r="I61" s="118">
        <f>ELC_CEN!I116</f>
        <v>0.16666666666666666</v>
      </c>
      <c r="J61" s="118"/>
      <c r="K61" s="118">
        <f>ELC_CEN!K116</f>
        <v>1</v>
      </c>
      <c r="L61" s="118">
        <f>ELC_CEN!L116</f>
        <v>0.16666666666666666</v>
      </c>
      <c r="M61" s="118">
        <f>ELC_CEN!M116</f>
        <v>0.83333333333333337</v>
      </c>
      <c r="N61" s="118">
        <f>ELC_CEN!N116</f>
        <v>0</v>
      </c>
      <c r="O61" s="116"/>
      <c r="P61" s="116"/>
      <c r="Q61" s="116"/>
      <c r="R61" s="116"/>
      <c r="S61" s="116"/>
      <c r="T61" s="118">
        <f>ELC_CEN!T116</f>
        <v>3.9485000000000001</v>
      </c>
      <c r="U61" s="118">
        <f>ELC_CEN!U116</f>
        <v>1.49E-2</v>
      </c>
      <c r="V61" s="118">
        <f>ELC_CEN!V116</f>
        <v>3.3111111111111113</v>
      </c>
      <c r="W61" s="118"/>
      <c r="X61" s="116"/>
      <c r="Y61" s="118"/>
      <c r="Z61" s="116"/>
      <c r="AA61" s="123"/>
      <c r="AB61" s="123"/>
      <c r="AC61" s="123"/>
      <c r="AD61" s="123"/>
      <c r="AF61" s="118"/>
    </row>
    <row r="62" spans="1:32" s="8" customFormat="1">
      <c r="A62" s="116" t="s">
        <v>479</v>
      </c>
      <c r="B62" s="116" t="s">
        <v>131</v>
      </c>
      <c r="C62" s="116" t="str">
        <f>ELC_CEN!C117</f>
        <v>ELCFGC</v>
      </c>
      <c r="D62" s="121" t="s">
        <v>138</v>
      </c>
      <c r="E62" s="319" t="s">
        <v>551</v>
      </c>
      <c r="F62" s="116">
        <f>ELC_CEN!F117</f>
        <v>2015</v>
      </c>
      <c r="G62" s="116">
        <f>ELC_CEN!G117</f>
        <v>2015</v>
      </c>
      <c r="H62" s="119">
        <f>ELC_CEN!H117</f>
        <v>12</v>
      </c>
      <c r="I62" s="118">
        <f>ELC_CEN!I117</f>
        <v>0.01</v>
      </c>
      <c r="J62" s="118"/>
      <c r="K62" s="118">
        <f>ELC_CEN!K117</f>
        <v>1</v>
      </c>
      <c r="L62" s="118">
        <f>ELC_CEN!L117</f>
        <v>0.01</v>
      </c>
      <c r="M62" s="118"/>
      <c r="N62" s="118">
        <f>ELC_CEN!N117</f>
        <v>0.58823529411764708</v>
      </c>
      <c r="O62" s="116"/>
      <c r="P62" s="116"/>
      <c r="Q62" s="116"/>
      <c r="R62" s="116"/>
      <c r="S62" s="116"/>
      <c r="T62" s="118">
        <f>ELC_CEN!T117</f>
        <v>4.47</v>
      </c>
      <c r="U62" s="118">
        <f>ELC_CEN!U117</f>
        <v>1.49E-2</v>
      </c>
      <c r="V62" s="118">
        <f>ELC_CEN!V117</f>
        <v>1.8625</v>
      </c>
      <c r="W62" s="118">
        <f>ELC_CEN!W117</f>
        <v>3.1536000000000002E-2</v>
      </c>
      <c r="X62" s="116">
        <f>ELC_CEN!X117</f>
        <v>0.98</v>
      </c>
      <c r="Y62" s="118">
        <f>ELC_CEN!Y117</f>
        <v>1</v>
      </c>
      <c r="Z62" s="116">
        <f>ELC_CEN!Z117</f>
        <v>25</v>
      </c>
      <c r="AA62" s="123"/>
      <c r="AB62" s="123"/>
      <c r="AC62" s="123"/>
      <c r="AD62" s="123"/>
      <c r="AF62" s="118">
        <f>ELC_CEN!AF117</f>
        <v>0.5</v>
      </c>
    </row>
    <row r="63" spans="1:32" s="8" customFormat="1">
      <c r="A63" s="116" t="s">
        <v>321</v>
      </c>
      <c r="B63" s="116"/>
      <c r="C63" s="116" t="str">
        <f>ELC_CEN!C119</f>
        <v>ELCC</v>
      </c>
      <c r="D63" s="121"/>
      <c r="E63" s="319" t="s">
        <v>551</v>
      </c>
      <c r="F63" s="116">
        <f>ELC_CEN!F118</f>
        <v>2020</v>
      </c>
      <c r="G63" s="116"/>
      <c r="H63" s="118"/>
      <c r="I63" s="118">
        <f>ELC_CEN!I118</f>
        <v>0.01</v>
      </c>
      <c r="J63" s="118"/>
      <c r="K63" s="118">
        <f>ELC_CEN!K118</f>
        <v>1</v>
      </c>
      <c r="L63" s="118">
        <f>ELC_CEN!L118</f>
        <v>0.01</v>
      </c>
      <c r="M63" s="118"/>
      <c r="N63" s="118">
        <f>ELC_CEN!N118</f>
        <v>0.58479532163742687</v>
      </c>
      <c r="O63" s="116"/>
      <c r="P63" s="116"/>
      <c r="Q63" s="116"/>
      <c r="R63" s="116"/>
      <c r="S63" s="116"/>
      <c r="T63" s="118">
        <f>ELC_CEN!T118</f>
        <v>4.1720000000000006</v>
      </c>
      <c r="U63" s="118">
        <f>ELC_CEN!U118</f>
        <v>1.49E-2</v>
      </c>
      <c r="V63" s="118">
        <f>ELC_CEN!V118</f>
        <v>0.57944444444444454</v>
      </c>
      <c r="W63" s="118"/>
      <c r="X63" s="116"/>
      <c r="Y63" s="118"/>
      <c r="Z63" s="116"/>
      <c r="AA63" s="123"/>
      <c r="AB63" s="123"/>
      <c r="AC63" s="123"/>
      <c r="AD63" s="123"/>
      <c r="AE63" s="8">
        <v>5</v>
      </c>
      <c r="AF63" s="118"/>
    </row>
    <row r="64" spans="1:32" s="8" customFormat="1">
      <c r="A64" s="116" t="s">
        <v>321</v>
      </c>
      <c r="B64" s="116"/>
      <c r="C64" s="122" t="s">
        <v>323</v>
      </c>
      <c r="D64" s="121"/>
      <c r="E64" s="319" t="s">
        <v>551</v>
      </c>
      <c r="F64" s="116">
        <f>ELC_CEN!F119</f>
        <v>2030</v>
      </c>
      <c r="G64" s="116"/>
      <c r="H64" s="118"/>
      <c r="I64" s="118">
        <f>ELC_CEN!I119</f>
        <v>0.01</v>
      </c>
      <c r="J64" s="118"/>
      <c r="K64" s="118">
        <f>ELC_CEN!K119</f>
        <v>1</v>
      </c>
      <c r="L64" s="118">
        <f>ELC_CEN!L119</f>
        <v>0.01</v>
      </c>
      <c r="M64" s="118"/>
      <c r="N64" s="118">
        <f>ELC_CEN!N119</f>
        <v>0.5780346820809249</v>
      </c>
      <c r="O64" s="116"/>
      <c r="P64" s="116"/>
      <c r="Q64" s="116"/>
      <c r="R64" s="116"/>
      <c r="S64" s="116"/>
      <c r="T64" s="118">
        <f>ELC_CEN!T119</f>
        <v>3.7995000000000001</v>
      </c>
      <c r="U64" s="118">
        <f>ELC_CEN!U119</f>
        <v>1.49E-2</v>
      </c>
      <c r="V64" s="118">
        <f>ELC_CEN!V119</f>
        <v>4.1388888888888893</v>
      </c>
      <c r="W64" s="118"/>
      <c r="X64" s="116"/>
      <c r="Y64" s="118"/>
      <c r="Z64" s="116"/>
      <c r="AA64" s="123"/>
      <c r="AB64" s="123"/>
      <c r="AC64" s="123"/>
      <c r="AD64" s="123"/>
      <c r="AE64" s="8">
        <v>5</v>
      </c>
      <c r="AF64" s="118"/>
    </row>
    <row r="65" spans="1:32" s="8" customFormat="1">
      <c r="A65" s="116" t="s">
        <v>321</v>
      </c>
      <c r="B65" s="116"/>
      <c r="C65" s="122"/>
      <c r="D65" s="121"/>
      <c r="E65" s="319" t="s">
        <v>551</v>
      </c>
      <c r="F65" s="116">
        <f>ELC_CEN!F120</f>
        <v>2050</v>
      </c>
      <c r="G65" s="116"/>
      <c r="H65" s="118"/>
      <c r="I65" s="118">
        <f>ELC_CEN!I120</f>
        <v>0.01</v>
      </c>
      <c r="J65" s="118"/>
      <c r="K65" s="118">
        <f>ELC_CEN!K120</f>
        <v>1</v>
      </c>
      <c r="L65" s="118">
        <f>ELC_CEN!L120</f>
        <v>0.01</v>
      </c>
      <c r="M65" s="118"/>
      <c r="N65" s="118">
        <f>ELC_CEN!N120</f>
        <v>0.5714285714285714</v>
      </c>
      <c r="O65" s="116"/>
      <c r="P65" s="116"/>
      <c r="Q65" s="116"/>
      <c r="R65" s="116"/>
      <c r="S65" s="116"/>
      <c r="T65" s="118">
        <f>ELC_CEN!T120</f>
        <v>3.427</v>
      </c>
      <c r="U65" s="118">
        <f>ELC_CEN!U120</f>
        <v>1.49E-2</v>
      </c>
      <c r="V65" s="118">
        <f>ELC_CEN!V120</f>
        <v>4.1388888888888893</v>
      </c>
      <c r="W65" s="118"/>
      <c r="X65" s="116"/>
      <c r="Y65" s="118"/>
      <c r="Z65" s="116"/>
      <c r="AA65" s="123"/>
      <c r="AB65" s="123"/>
      <c r="AC65" s="123"/>
      <c r="AD65" s="123"/>
      <c r="AF65" s="118"/>
    </row>
    <row r="66" spans="1:32" s="8" customFormat="1">
      <c r="A66" s="116" t="s">
        <v>480</v>
      </c>
      <c r="B66" s="116" t="s">
        <v>218</v>
      </c>
      <c r="C66" s="116" t="str">
        <f>ELC_CEN!C121</f>
        <v>ELCC</v>
      </c>
      <c r="D66" s="121" t="s">
        <v>138</v>
      </c>
      <c r="E66" s="319" t="s">
        <v>551</v>
      </c>
      <c r="F66" s="116">
        <f>ELC_CEN!F121</f>
        <v>2015</v>
      </c>
      <c r="G66" s="116">
        <f>ELC_CEN!G121</f>
        <v>2015</v>
      </c>
      <c r="H66" s="119">
        <f>ELC_CEN!H121</f>
        <v>1</v>
      </c>
      <c r="I66" s="118"/>
      <c r="J66" s="118"/>
      <c r="K66" s="124">
        <f>ELC_CEN!K121</f>
        <v>0.99</v>
      </c>
      <c r="L66" s="124"/>
      <c r="M66" s="124"/>
      <c r="N66" s="163"/>
      <c r="O66" s="116"/>
      <c r="P66" s="116"/>
      <c r="Q66" s="116"/>
      <c r="R66" s="116"/>
      <c r="S66" s="116"/>
      <c r="T66" s="118">
        <f>ELC_CEN!T121</f>
        <v>1.1174999999999999</v>
      </c>
      <c r="U66" s="118">
        <f>ELC_CEN!U121</f>
        <v>8.1949999999999992E-3</v>
      </c>
      <c r="V66" s="118">
        <f>ELC_CEN!V121</f>
        <v>1.0347222222222223</v>
      </c>
      <c r="W66" s="118">
        <f>ELC_CEN!W121</f>
        <v>3.1536000000000002E-2</v>
      </c>
      <c r="X66" s="116">
        <f>ELC_CEN!X121</f>
        <v>0.98</v>
      </c>
      <c r="Y66" s="118">
        <f>ELC_CEN!Y121</f>
        <v>1</v>
      </c>
      <c r="Z66" s="116">
        <f>ELC_CEN!Z121</f>
        <v>20</v>
      </c>
      <c r="AA66" s="123"/>
      <c r="AB66" s="123"/>
      <c r="AC66" s="123"/>
      <c r="AD66" s="123"/>
      <c r="AF66" s="118">
        <f>ELC_CEN!AF121</f>
        <v>1</v>
      </c>
    </row>
    <row r="67" spans="1:32" s="8" customFormat="1">
      <c r="A67" s="116"/>
      <c r="B67" s="116"/>
      <c r="C67" s="122"/>
      <c r="D67" s="121"/>
      <c r="E67" s="319" t="s">
        <v>551</v>
      </c>
      <c r="F67" s="116">
        <f>ELC_CEN!F122</f>
        <v>2020</v>
      </c>
      <c r="G67" s="116"/>
      <c r="H67" s="118"/>
      <c r="I67" s="118"/>
      <c r="J67" s="118"/>
      <c r="K67" s="124">
        <f>ELC_CEN!K122</f>
        <v>0.99</v>
      </c>
      <c r="L67" s="124"/>
      <c r="M67" s="124"/>
      <c r="N67" s="163"/>
      <c r="O67" s="116"/>
      <c r="P67" s="116"/>
      <c r="Q67" s="116"/>
      <c r="R67" s="116"/>
      <c r="S67" s="116"/>
      <c r="T67" s="118">
        <f>ELC_CEN!T122</f>
        <v>1.1174999999999999</v>
      </c>
      <c r="U67" s="118">
        <f>ELC_CEN!U122</f>
        <v>7.9714999999999994E-3</v>
      </c>
      <c r="V67" s="118">
        <f>ELC_CEN!V122</f>
        <v>1.0347222222222223</v>
      </c>
      <c r="W67" s="118"/>
      <c r="X67" s="116"/>
      <c r="Y67" s="118"/>
      <c r="Z67" s="116"/>
      <c r="AA67" s="123"/>
      <c r="AB67" s="123"/>
      <c r="AC67" s="123"/>
      <c r="AD67" s="123"/>
      <c r="AF67" s="118"/>
    </row>
    <row r="68" spans="1:32" s="8" customFormat="1">
      <c r="A68" s="116"/>
      <c r="B68" s="116"/>
      <c r="C68" s="122"/>
      <c r="D68" s="121"/>
      <c r="E68" s="319" t="s">
        <v>551</v>
      </c>
      <c r="F68" s="116">
        <f>ELC_CEN!F123</f>
        <v>2030</v>
      </c>
      <c r="G68" s="116"/>
      <c r="H68" s="118"/>
      <c r="I68" s="118"/>
      <c r="J68" s="118"/>
      <c r="K68" s="124">
        <f>ELC_CEN!K123</f>
        <v>0.99</v>
      </c>
      <c r="L68" s="124"/>
      <c r="M68" s="124"/>
      <c r="N68" s="163"/>
      <c r="O68" s="116"/>
      <c r="P68" s="116"/>
      <c r="Q68" s="116"/>
      <c r="R68" s="116"/>
      <c r="S68" s="116"/>
      <c r="T68" s="118">
        <f>ELC_CEN!T123</f>
        <v>1.0430000000000001</v>
      </c>
      <c r="U68" s="118">
        <f>ELC_CEN!U123</f>
        <v>7.5989999999999999E-3</v>
      </c>
      <c r="V68" s="118">
        <f>ELC_CEN!V123</f>
        <v>1.0347222222222223</v>
      </c>
      <c r="W68" s="118"/>
      <c r="X68" s="116"/>
      <c r="Y68" s="118"/>
      <c r="Z68" s="116"/>
      <c r="AA68" s="123"/>
      <c r="AB68" s="123"/>
      <c r="AC68" s="123"/>
      <c r="AD68" s="123"/>
      <c r="AF68" s="118"/>
    </row>
    <row r="69" spans="1:32" s="8" customFormat="1">
      <c r="A69" s="116"/>
      <c r="B69" s="116"/>
      <c r="C69" s="122"/>
      <c r="D69" s="121"/>
      <c r="E69" s="319" t="s">
        <v>551</v>
      </c>
      <c r="F69" s="116">
        <f>ELC_CEN!F124</f>
        <v>2050</v>
      </c>
      <c r="G69" s="116"/>
      <c r="H69" s="118"/>
      <c r="I69" s="118"/>
      <c r="J69" s="118"/>
      <c r="K69" s="124">
        <f>ELC_CEN!K124</f>
        <v>0.99</v>
      </c>
      <c r="L69" s="124"/>
      <c r="M69" s="124"/>
      <c r="N69" s="163"/>
      <c r="O69" s="116"/>
      <c r="P69" s="116"/>
      <c r="Q69" s="116"/>
      <c r="R69" s="116"/>
      <c r="S69" s="116"/>
      <c r="T69" s="118">
        <f>ELC_CEN!T124</f>
        <v>0.96850000000000003</v>
      </c>
      <c r="U69" s="118">
        <f>ELC_CEN!U124</f>
        <v>6.8539999999999998E-3</v>
      </c>
      <c r="V69" s="118">
        <f>ELC_CEN!V124</f>
        <v>0.82777777777777783</v>
      </c>
      <c r="W69" s="118"/>
      <c r="X69" s="116"/>
      <c r="Y69" s="118"/>
      <c r="Z69" s="116"/>
      <c r="AA69" s="123"/>
      <c r="AB69" s="123"/>
      <c r="AC69" s="123"/>
      <c r="AD69" s="123"/>
      <c r="AF69" s="118"/>
    </row>
    <row r="70" spans="1:32" s="8" customFormat="1">
      <c r="A70" s="116" t="s">
        <v>481</v>
      </c>
      <c r="B70" s="116" t="s">
        <v>132</v>
      </c>
      <c r="C70" s="116" t="str">
        <f>ELC_CEN!C129</f>
        <v>ELCWCH</v>
      </c>
      <c r="D70" s="121" t="s">
        <v>138</v>
      </c>
      <c r="E70" s="319" t="s">
        <v>429</v>
      </c>
      <c r="F70" s="116">
        <f>ELC_CEN!F129</f>
        <v>2015</v>
      </c>
      <c r="G70" s="116">
        <f>ELC_CEN!G129</f>
        <v>2015</v>
      </c>
      <c r="H70" s="119">
        <f>ELC_CEN!H129</f>
        <v>7</v>
      </c>
      <c r="I70" s="118"/>
      <c r="J70" s="118"/>
      <c r="K70" s="125">
        <f>ELC_CEN!K129</f>
        <v>1.173</v>
      </c>
      <c r="L70" s="125"/>
      <c r="M70" s="125"/>
      <c r="N70" s="163"/>
      <c r="O70" s="116"/>
      <c r="P70" s="116"/>
      <c r="Q70" s="116"/>
      <c r="R70" s="116"/>
      <c r="S70" s="116"/>
      <c r="T70" s="118">
        <f>ELC_CEN!T129</f>
        <v>8.1950000000000003</v>
      </c>
      <c r="U70" s="118">
        <f>ELC_CEN!U129</f>
        <v>0.25330000000000003</v>
      </c>
      <c r="V70" s="118">
        <f>ELC_CEN!V129</f>
        <v>2.276388888888889</v>
      </c>
      <c r="W70" s="118">
        <f>ELC_CEN!W129</f>
        <v>3.1536000000000002E-2</v>
      </c>
      <c r="X70" s="116">
        <f>ELC_CEN!X129</f>
        <v>0.95</v>
      </c>
      <c r="Y70" s="118">
        <f>ELC_CEN!Y129</f>
        <v>1</v>
      </c>
      <c r="Z70" s="116">
        <f>ELC_CEN!Z129</f>
        <v>20</v>
      </c>
      <c r="AA70" s="123">
        <f>ELC_CEN!AA129</f>
        <v>90</v>
      </c>
      <c r="AB70" s="123">
        <f>ELC_CEN!AB129</f>
        <v>16</v>
      </c>
      <c r="AC70" s="123">
        <f>ELC_CEN!AC129</f>
        <v>0.8</v>
      </c>
      <c r="AD70" s="123">
        <f>ELC_CEN!AD129</f>
        <v>1.9</v>
      </c>
      <c r="AF70" s="118">
        <f>ELC_CEN!AF129</f>
        <v>1</v>
      </c>
    </row>
    <row r="71" spans="1:32" s="8" customFormat="1">
      <c r="A71" s="116"/>
      <c r="B71" s="116"/>
      <c r="C71" s="122"/>
      <c r="D71" s="121"/>
      <c r="E71" s="319" t="s">
        <v>429</v>
      </c>
      <c r="F71" s="116">
        <f>ELC_CEN!F130</f>
        <v>2020</v>
      </c>
      <c r="G71" s="116"/>
      <c r="H71" s="118"/>
      <c r="I71" s="118"/>
      <c r="J71" s="118"/>
      <c r="K71" s="125">
        <f>ELC_CEN!K130</f>
        <v>1.173</v>
      </c>
      <c r="L71" s="125"/>
      <c r="M71" s="125"/>
      <c r="N71" s="163"/>
      <c r="O71" s="116"/>
      <c r="P71" s="116"/>
      <c r="Q71" s="116"/>
      <c r="R71" s="116"/>
      <c r="S71" s="116"/>
      <c r="T71" s="118">
        <f>ELC_CEN!T130</f>
        <v>7.45</v>
      </c>
      <c r="U71" s="118">
        <f>ELC_CEN!U130</f>
        <v>0.24585000000000001</v>
      </c>
      <c r="V71" s="118">
        <f>ELC_CEN!V130</f>
        <v>2.276388888888889</v>
      </c>
      <c r="W71" s="118"/>
      <c r="X71" s="116"/>
      <c r="Y71" s="118"/>
      <c r="Z71" s="116"/>
      <c r="AA71" s="123">
        <f>ELC_CEN!AA130</f>
        <v>60</v>
      </c>
      <c r="AB71" s="123">
        <f>ELC_CEN!AB130</f>
        <v>11</v>
      </c>
      <c r="AC71" s="123">
        <f>ELC_CEN!AC130</f>
        <v>20.3</v>
      </c>
      <c r="AD71" s="123">
        <f>ELC_CEN!AD130</f>
        <v>1.9</v>
      </c>
      <c r="AF71" s="118"/>
    </row>
    <row r="72" spans="1:32" s="8" customFormat="1">
      <c r="A72" s="116"/>
      <c r="B72" s="116"/>
      <c r="C72" s="122"/>
      <c r="D72" s="121"/>
      <c r="E72" s="319" t="s">
        <v>429</v>
      </c>
      <c r="F72" s="116">
        <f>ELC_CEN!F131</f>
        <v>2030</v>
      </c>
      <c r="G72" s="116"/>
      <c r="H72" s="118"/>
      <c r="I72" s="118"/>
      <c r="J72" s="118"/>
      <c r="K72" s="125">
        <f>ELC_CEN!K131</f>
        <v>1.173</v>
      </c>
      <c r="L72" s="125"/>
      <c r="M72" s="125"/>
      <c r="N72" s="163"/>
      <c r="O72" s="116"/>
      <c r="P72" s="116"/>
      <c r="Q72" s="116"/>
      <c r="R72" s="116"/>
      <c r="S72" s="116"/>
      <c r="T72" s="118">
        <f>ELC_CEN!T131</f>
        <v>7.45</v>
      </c>
      <c r="U72" s="118">
        <f>ELC_CEN!U131</f>
        <v>0.2384</v>
      </c>
      <c r="V72" s="118">
        <f>ELC_CEN!V131</f>
        <v>2.276388888888889</v>
      </c>
      <c r="W72" s="118"/>
      <c r="X72" s="116"/>
      <c r="Y72" s="118"/>
      <c r="Z72" s="116"/>
      <c r="AA72" s="123">
        <f>ELC_CEN!AA131</f>
        <v>50</v>
      </c>
      <c r="AB72" s="123">
        <f>ELC_CEN!AB131</f>
        <v>8</v>
      </c>
      <c r="AC72" s="123">
        <f>ELC_CEN!AC131</f>
        <v>0.3</v>
      </c>
      <c r="AD72" s="123">
        <f>ELC_CEN!AD131</f>
        <v>1.9</v>
      </c>
      <c r="AF72" s="118"/>
    </row>
    <row r="73" spans="1:32" s="8" customFormat="1">
      <c r="A73" s="116"/>
      <c r="B73" s="116"/>
      <c r="C73" s="122"/>
      <c r="D73" s="121"/>
      <c r="E73" s="319" t="s">
        <v>429</v>
      </c>
      <c r="F73" s="116">
        <f>ELC_CEN!F132</f>
        <v>2050</v>
      </c>
      <c r="G73" s="116"/>
      <c r="H73" s="118"/>
      <c r="I73" s="118"/>
      <c r="J73" s="118"/>
      <c r="K73" s="125">
        <f>ELC_CEN!K132</f>
        <v>1.173</v>
      </c>
      <c r="L73" s="125"/>
      <c r="M73" s="125"/>
      <c r="N73" s="163"/>
      <c r="O73" s="116"/>
      <c r="P73" s="116"/>
      <c r="Q73" s="116"/>
      <c r="R73" s="116"/>
      <c r="S73" s="116"/>
      <c r="T73" s="118">
        <f>ELC_CEN!T132</f>
        <v>6.7050000000000001</v>
      </c>
      <c r="U73" s="118">
        <f>ELC_CEN!U132</f>
        <v>0.2235</v>
      </c>
      <c r="V73" s="118">
        <f>ELC_CEN!V132</f>
        <v>2.276388888888889</v>
      </c>
      <c r="W73" s="118"/>
      <c r="X73" s="116"/>
      <c r="Y73" s="118"/>
      <c r="Z73" s="116"/>
      <c r="AA73" s="123">
        <f>ELC_CEN!AA132</f>
        <v>40</v>
      </c>
      <c r="AB73" s="123">
        <f>ELC_CEN!AB132</f>
        <v>4</v>
      </c>
      <c r="AC73" s="123">
        <f>ELC_CEN!AC132</f>
        <v>0.3</v>
      </c>
      <c r="AD73" s="123">
        <f>ELC_CEN!AD132</f>
        <v>1.9</v>
      </c>
      <c r="AF73" s="118"/>
    </row>
    <row r="74" spans="1:32" s="8" customFormat="1">
      <c r="A74" s="116" t="s">
        <v>482</v>
      </c>
      <c r="B74" s="116" t="s">
        <v>133</v>
      </c>
      <c r="C74" s="116" t="str">
        <f>ELC_CEN!C133</f>
        <v>ELCSTR</v>
      </c>
      <c r="D74" s="121" t="s">
        <v>138</v>
      </c>
      <c r="E74" s="319" t="s">
        <v>429</v>
      </c>
      <c r="F74" s="116">
        <f>ELC_CEN!F133</f>
        <v>2015</v>
      </c>
      <c r="G74" s="116">
        <f>ELC_CEN!G133</f>
        <v>2015</v>
      </c>
      <c r="H74" s="119">
        <f>ELC_CEN!H133</f>
        <v>6.3</v>
      </c>
      <c r="I74" s="118"/>
      <c r="J74" s="118"/>
      <c r="K74" s="125">
        <f>ELC_CEN!K133</f>
        <v>1.044</v>
      </c>
      <c r="L74" s="125"/>
      <c r="M74" s="125"/>
      <c r="N74" s="163"/>
      <c r="O74" s="116"/>
      <c r="P74" s="116"/>
      <c r="Q74" s="116"/>
      <c r="R74" s="116"/>
      <c r="S74" s="116"/>
      <c r="T74" s="118">
        <f>ELC_CEN!T133</f>
        <v>5.2149999999999999</v>
      </c>
      <c r="U74" s="118">
        <f>ELC_CEN!U133</f>
        <v>0.29799999999999999</v>
      </c>
      <c r="V74" s="118">
        <f>ELC_CEN!V133</f>
        <v>2.0694444444444446</v>
      </c>
      <c r="W74" s="118">
        <f>ELC_CEN!W133</f>
        <v>3.1536000000000002E-2</v>
      </c>
      <c r="X74" s="116">
        <f>ELC_CEN!X133</f>
        <v>0.95</v>
      </c>
      <c r="Y74" s="118">
        <f>ELC_CEN!Y133</f>
        <v>1</v>
      </c>
      <c r="Z74" s="116">
        <f>ELC_CEN!Z133</f>
        <v>25</v>
      </c>
      <c r="AA74" s="123">
        <f>ELC_CEN!AA133</f>
        <v>90</v>
      </c>
      <c r="AB74" s="123">
        <f>ELC_CEN!AB133</f>
        <v>16</v>
      </c>
      <c r="AC74" s="123">
        <f>ELC_CEN!AC133</f>
        <v>4</v>
      </c>
      <c r="AD74" s="123">
        <f>ELC_CEN!AD133</f>
        <v>49</v>
      </c>
      <c r="AF74" s="118">
        <f>ELC_CEN!AF133</f>
        <v>1</v>
      </c>
    </row>
    <row r="75" spans="1:32" s="8" customFormat="1">
      <c r="A75" s="116"/>
      <c r="B75" s="116"/>
      <c r="C75" s="122"/>
      <c r="D75" s="121"/>
      <c r="E75" s="319" t="s">
        <v>429</v>
      </c>
      <c r="F75" s="116">
        <f>ELC_CEN!F134</f>
        <v>2020</v>
      </c>
      <c r="G75" s="116"/>
      <c r="H75" s="118"/>
      <c r="I75" s="118"/>
      <c r="J75" s="118"/>
      <c r="K75" s="125">
        <f>ELC_CEN!K134</f>
        <v>1.08</v>
      </c>
      <c r="L75" s="125"/>
      <c r="M75" s="125"/>
      <c r="N75" s="163"/>
      <c r="O75" s="116"/>
      <c r="P75" s="116"/>
      <c r="Q75" s="116"/>
      <c r="R75" s="116"/>
      <c r="S75" s="116"/>
      <c r="T75" s="118">
        <f>ELC_CEN!T134</f>
        <v>5.2149999999999999</v>
      </c>
      <c r="U75" s="118">
        <f>ELC_CEN!U134</f>
        <v>0.29054999999999997</v>
      </c>
      <c r="V75" s="118">
        <f>ELC_CEN!V134</f>
        <v>2.0694444444444446</v>
      </c>
      <c r="W75" s="118"/>
      <c r="X75" s="116"/>
      <c r="Y75" s="118"/>
      <c r="Z75" s="116"/>
      <c r="AA75" s="123">
        <f>ELC_CEN!AA134</f>
        <v>70</v>
      </c>
      <c r="AB75" s="123">
        <f>ELC_CEN!AB134</f>
        <v>11</v>
      </c>
      <c r="AC75" s="123">
        <f>ELC_CEN!AC134</f>
        <v>3</v>
      </c>
      <c r="AD75" s="123">
        <f>ELC_CEN!AD134</f>
        <v>49</v>
      </c>
      <c r="AF75" s="118"/>
    </row>
    <row r="76" spans="1:32" s="8" customFormat="1">
      <c r="A76" s="116"/>
      <c r="B76" s="116"/>
      <c r="C76" s="122"/>
      <c r="D76" s="121"/>
      <c r="E76" s="319" t="s">
        <v>429</v>
      </c>
      <c r="F76" s="116">
        <f>ELC_CEN!F135</f>
        <v>2030</v>
      </c>
      <c r="G76" s="116"/>
      <c r="H76" s="118"/>
      <c r="I76" s="118"/>
      <c r="J76" s="118"/>
      <c r="K76" s="125">
        <f>ELC_CEN!K135</f>
        <v>1.08</v>
      </c>
      <c r="L76" s="125"/>
      <c r="M76" s="125"/>
      <c r="N76" s="163"/>
      <c r="O76" s="116"/>
      <c r="P76" s="116"/>
      <c r="Q76" s="116"/>
      <c r="R76" s="116"/>
      <c r="S76" s="116"/>
      <c r="T76" s="118">
        <f>ELC_CEN!T135</f>
        <v>4.47</v>
      </c>
      <c r="U76" s="118">
        <f>ELC_CEN!U135</f>
        <v>0.26819999999999999</v>
      </c>
      <c r="V76" s="118">
        <f>ELC_CEN!V135</f>
        <v>2.0694444444444446</v>
      </c>
      <c r="W76" s="118"/>
      <c r="X76" s="116"/>
      <c r="Y76" s="118"/>
      <c r="Z76" s="116"/>
      <c r="AA76" s="123">
        <f>ELC_CEN!AA135</f>
        <v>50</v>
      </c>
      <c r="AB76" s="123">
        <f>ELC_CEN!AB135</f>
        <v>8</v>
      </c>
      <c r="AC76" s="123">
        <f>ELC_CEN!AC135</f>
        <v>2</v>
      </c>
      <c r="AD76" s="123">
        <f>ELC_CEN!AD135</f>
        <v>49</v>
      </c>
      <c r="AF76" s="118"/>
    </row>
    <row r="77" spans="1:32" s="8" customFormat="1">
      <c r="A77" s="116"/>
      <c r="B77" s="116"/>
      <c r="C77" s="122"/>
      <c r="D77" s="121"/>
      <c r="E77" s="319" t="s">
        <v>429</v>
      </c>
      <c r="F77" s="116">
        <f>ELC_CEN!F136</f>
        <v>2050</v>
      </c>
      <c r="G77" s="116"/>
      <c r="H77" s="118"/>
      <c r="I77" s="118"/>
      <c r="J77" s="118"/>
      <c r="K77" s="125">
        <f>ELC_CEN!K136</f>
        <v>1.08</v>
      </c>
      <c r="L77" s="125"/>
      <c r="M77" s="125"/>
      <c r="N77" s="163"/>
      <c r="O77" s="116"/>
      <c r="P77" s="116"/>
      <c r="Q77" s="116"/>
      <c r="R77" s="116"/>
      <c r="S77" s="116"/>
      <c r="T77" s="118">
        <f>ELC_CEN!T136</f>
        <v>4.47</v>
      </c>
      <c r="U77" s="118">
        <f>ELC_CEN!U136</f>
        <v>0.2384</v>
      </c>
      <c r="V77" s="118">
        <f>ELC_CEN!V136</f>
        <v>2.0694444444444446</v>
      </c>
      <c r="W77" s="118"/>
      <c r="X77" s="116"/>
      <c r="Y77" s="118"/>
      <c r="Z77" s="116"/>
      <c r="AA77" s="123">
        <f>ELC_CEN!AA136</f>
        <v>40</v>
      </c>
      <c r="AB77" s="123">
        <f>ELC_CEN!AB136</f>
        <v>4</v>
      </c>
      <c r="AC77" s="123">
        <f>ELC_CEN!AC136</f>
        <v>1</v>
      </c>
      <c r="AD77" s="123">
        <f>ELC_CEN!AD136</f>
        <v>49</v>
      </c>
      <c r="AF77" s="118"/>
    </row>
    <row r="78" spans="1:32" s="301" customFormat="1">
      <c r="A78" s="354" t="s">
        <v>555</v>
      </c>
      <c r="B78" s="354" t="s">
        <v>554</v>
      </c>
      <c r="C78" s="354" t="str">
        <f>ELC_CEN!C137</f>
        <v>ELCWPE</v>
      </c>
      <c r="D78" s="354" t="str">
        <f>D74</f>
        <v>HETD</v>
      </c>
      <c r="E78" s="319" t="s">
        <v>551</v>
      </c>
      <c r="F78" s="351">
        <f>ELC_CEN!F137</f>
        <v>2015</v>
      </c>
      <c r="G78" s="351">
        <f>ELC_CEN!G137</f>
        <v>2015</v>
      </c>
      <c r="H78" s="351">
        <f>ELC_CEN!H137</f>
        <v>6.1</v>
      </c>
      <c r="I78" s="351"/>
      <c r="J78" s="351"/>
      <c r="K78" s="351">
        <f>ELC_CEN!K137</f>
        <v>1.024</v>
      </c>
      <c r="L78" s="351"/>
      <c r="M78" s="351"/>
      <c r="N78" s="351"/>
      <c r="O78" s="351"/>
      <c r="P78" s="351"/>
      <c r="Q78" s="351"/>
      <c r="R78" s="351"/>
      <c r="S78" s="351"/>
      <c r="T78" s="351">
        <f>ELC_CEN!T137</f>
        <v>7.45</v>
      </c>
      <c r="U78" s="351">
        <f>ELC_CEN!U137</f>
        <v>0.25330000000000003</v>
      </c>
      <c r="V78" s="351">
        <f>ELC_CEN!V137</f>
        <v>2.0694444444444446</v>
      </c>
      <c r="W78" s="351">
        <f>ELC_CEN!W137</f>
        <v>3.1536000000000002E-2</v>
      </c>
      <c r="X78" s="351">
        <f>ELC_CEN!X137</f>
        <v>0.95</v>
      </c>
      <c r="Y78" s="351">
        <f>ELC_CEN!Y137</f>
        <v>1</v>
      </c>
      <c r="Z78" s="351">
        <f>ELC_CEN!Z137</f>
        <v>25</v>
      </c>
      <c r="AA78" s="351">
        <f>ELC_CEN!AA137</f>
        <v>90</v>
      </c>
      <c r="AB78" s="351"/>
      <c r="AC78" s="351">
        <f>ELC_CEN!AC137</f>
        <v>1</v>
      </c>
      <c r="AD78" s="351">
        <f>ELC_CEN!AD137</f>
        <v>11</v>
      </c>
      <c r="AE78" s="351"/>
      <c r="AF78" s="351">
        <f>ELC_CEN!AF137</f>
        <v>1</v>
      </c>
    </row>
    <row r="79" spans="1:32" s="301" customFormat="1">
      <c r="A79" s="351"/>
      <c r="B79" s="351"/>
      <c r="C79" s="352"/>
      <c r="D79" s="353"/>
      <c r="E79" s="319" t="s">
        <v>551</v>
      </c>
      <c r="F79" s="351">
        <f>ELC_CEN!F138</f>
        <v>2020</v>
      </c>
      <c r="G79" s="351"/>
      <c r="H79" s="351"/>
      <c r="I79" s="351"/>
      <c r="J79" s="351"/>
      <c r="K79" s="351">
        <f>ELC_CEN!K138</f>
        <v>1.024</v>
      </c>
      <c r="L79" s="351"/>
      <c r="M79" s="351"/>
      <c r="N79" s="351"/>
      <c r="O79" s="351"/>
      <c r="P79" s="351"/>
      <c r="Q79" s="351"/>
      <c r="R79" s="351"/>
      <c r="S79" s="351"/>
      <c r="T79" s="351">
        <f>ELC_CEN!T138</f>
        <v>7.45</v>
      </c>
      <c r="U79" s="351">
        <f>ELC_CEN!U138</f>
        <v>0.24585000000000001</v>
      </c>
      <c r="V79" s="351">
        <f>ELC_CEN!V138</f>
        <v>2.0694444444444446</v>
      </c>
      <c r="W79" s="351"/>
      <c r="X79" s="351"/>
      <c r="Y79" s="351"/>
      <c r="Z79" s="351"/>
      <c r="AA79" s="351">
        <f>ELC_CEN!AA138</f>
        <v>50</v>
      </c>
      <c r="AB79" s="351"/>
      <c r="AC79" s="351">
        <f>ELC_CEN!AC138</f>
        <v>1</v>
      </c>
      <c r="AD79" s="351">
        <f>ELC_CEN!AD138</f>
        <v>11</v>
      </c>
      <c r="AE79" s="351"/>
      <c r="AF79" s="351"/>
    </row>
    <row r="80" spans="1:32" s="301" customFormat="1">
      <c r="A80" s="351"/>
      <c r="B80" s="351"/>
      <c r="C80" s="352"/>
      <c r="D80" s="353"/>
      <c r="E80" s="319" t="s">
        <v>551</v>
      </c>
      <c r="F80" s="351">
        <f>ELC_CEN!F139</f>
        <v>2030</v>
      </c>
      <c r="G80" s="351"/>
      <c r="H80" s="351"/>
      <c r="I80" s="351"/>
      <c r="J80" s="351"/>
      <c r="K80" s="351">
        <f>ELC_CEN!K139</f>
        <v>1.024</v>
      </c>
      <c r="L80" s="351"/>
      <c r="M80" s="351"/>
      <c r="N80" s="351"/>
      <c r="O80" s="351"/>
      <c r="P80" s="351"/>
      <c r="Q80" s="351"/>
      <c r="R80" s="351"/>
      <c r="S80" s="351"/>
      <c r="T80" s="351">
        <f>ELC_CEN!T139</f>
        <v>6.7050000000000001</v>
      </c>
      <c r="U80" s="351">
        <f>ELC_CEN!U139</f>
        <v>0.23094999999999999</v>
      </c>
      <c r="V80" s="351">
        <f>ELC_CEN!V139</f>
        <v>2.0694444444444446</v>
      </c>
      <c r="W80" s="351"/>
      <c r="X80" s="351"/>
      <c r="Y80" s="351"/>
      <c r="Z80" s="351"/>
      <c r="AA80" s="351">
        <f>ELC_CEN!AA139</f>
        <v>40</v>
      </c>
      <c r="AB80" s="351"/>
      <c r="AC80" s="351">
        <f>ELC_CEN!AC139</f>
        <v>1</v>
      </c>
      <c r="AD80" s="351">
        <f>ELC_CEN!AD139</f>
        <v>11</v>
      </c>
      <c r="AE80" s="351"/>
      <c r="AF80" s="351"/>
    </row>
    <row r="81" spans="1:32" s="301" customFormat="1">
      <c r="A81" s="351"/>
      <c r="B81" s="351"/>
      <c r="C81" s="352"/>
      <c r="D81" s="353"/>
      <c r="E81" s="319" t="s">
        <v>551</v>
      </c>
      <c r="F81" s="351">
        <f>ELC_CEN!F140</f>
        <v>2050</v>
      </c>
      <c r="G81" s="351"/>
      <c r="H81" s="351"/>
      <c r="I81" s="351"/>
      <c r="J81" s="351"/>
      <c r="K81" s="351">
        <f>ELC_CEN!K140</f>
        <v>1.024</v>
      </c>
      <c r="L81" s="351"/>
      <c r="M81" s="351"/>
      <c r="N81" s="351"/>
      <c r="O81" s="351"/>
      <c r="P81" s="351"/>
      <c r="Q81" s="351"/>
      <c r="R81" s="351"/>
      <c r="S81" s="351"/>
      <c r="T81" s="351">
        <f>ELC_CEN!T140</f>
        <v>5.9600000000000009</v>
      </c>
      <c r="U81" s="351">
        <f>ELC_CEN!U140</f>
        <v>0.20860000000000001</v>
      </c>
      <c r="V81" s="351">
        <f>ELC_CEN!V140</f>
        <v>2.0694444444444446</v>
      </c>
      <c r="W81" s="351"/>
      <c r="X81" s="351"/>
      <c r="Y81" s="351"/>
      <c r="Z81" s="351"/>
      <c r="AA81" s="351">
        <f>ELC_CEN!AA140</f>
        <v>40</v>
      </c>
      <c r="AB81" s="351"/>
      <c r="AC81" s="351">
        <f>ELC_CEN!AC140</f>
        <v>0</v>
      </c>
      <c r="AD81" s="351">
        <f>ELC_CEN!AD140</f>
        <v>11</v>
      </c>
      <c r="AE81" s="351"/>
      <c r="AF81" s="351"/>
    </row>
    <row r="82" spans="1:32" s="8" customFormat="1">
      <c r="A82" s="116" t="s">
        <v>483</v>
      </c>
      <c r="B82" s="116" t="s">
        <v>134</v>
      </c>
      <c r="C82" s="116" t="str">
        <f>ELC_CEN!C141</f>
        <v>ELCNGA,ELCSNG</v>
      </c>
      <c r="D82" s="121" t="s">
        <v>138</v>
      </c>
      <c r="E82" s="319" t="s">
        <v>551</v>
      </c>
      <c r="F82" s="116">
        <f>ELC_CEN!F141</f>
        <v>2015</v>
      </c>
      <c r="G82" s="116">
        <f>ELC_CEN!G141</f>
        <v>2015</v>
      </c>
      <c r="H82" s="120">
        <f>ELC_CEN!H141</f>
        <v>0.5</v>
      </c>
      <c r="I82" s="118"/>
      <c r="J82" s="118"/>
      <c r="K82" s="125">
        <f>ELC_CEN!K141</f>
        <v>1.05</v>
      </c>
      <c r="L82" s="125"/>
      <c r="M82" s="125"/>
      <c r="N82" s="163"/>
      <c r="O82" s="116"/>
      <c r="P82" s="116"/>
      <c r="Q82" s="116"/>
      <c r="R82" s="116"/>
      <c r="S82" s="116"/>
      <c r="T82" s="118">
        <f>ELC_CEN!T141</f>
        <v>0.44700000000000001</v>
      </c>
      <c r="U82" s="118">
        <f>ELC_CEN!U141</f>
        <v>1.49E-2</v>
      </c>
      <c r="V82" s="118">
        <f>ELC_CEN!V141</f>
        <v>2.276388888888889</v>
      </c>
      <c r="W82" s="118">
        <f>ELC_CEN!W141</f>
        <v>3.1536000000000002E-2</v>
      </c>
      <c r="X82" s="116">
        <f>ELC_CEN!X141</f>
        <v>0.98499999999999999</v>
      </c>
      <c r="Y82" s="118">
        <f>ELC_CEN!Y141</f>
        <v>1</v>
      </c>
      <c r="Z82" s="116">
        <f>ELC_CEN!Z141</f>
        <v>25</v>
      </c>
      <c r="AA82" s="120">
        <f>ELC_CEN!AA141</f>
        <v>10</v>
      </c>
      <c r="AB82" s="120">
        <f>ELC_CEN!AB141</f>
        <v>3</v>
      </c>
      <c r="AC82" s="120">
        <f>ELC_CEN!AC141</f>
        <v>1</v>
      </c>
      <c r="AD82" s="126"/>
      <c r="AF82" s="118">
        <f>ELC_CEN!AF141</f>
        <v>0.5</v>
      </c>
    </row>
    <row r="83" spans="1:32" s="8" customFormat="1">
      <c r="A83" s="116"/>
      <c r="B83" s="116"/>
      <c r="C83" s="122"/>
      <c r="D83" s="121"/>
      <c r="E83" s="319" t="s">
        <v>551</v>
      </c>
      <c r="F83" s="116">
        <f>ELC_CEN!F142</f>
        <v>2020</v>
      </c>
      <c r="G83" s="116"/>
      <c r="H83" s="118"/>
      <c r="I83" s="118"/>
      <c r="J83" s="118"/>
      <c r="K83" s="125">
        <f>ELC_CEN!K142</f>
        <v>1.05</v>
      </c>
      <c r="L83" s="125"/>
      <c r="M83" s="125"/>
      <c r="N83" s="163"/>
      <c r="O83" s="116"/>
      <c r="P83" s="116"/>
      <c r="Q83" s="116"/>
      <c r="R83" s="116"/>
      <c r="S83" s="116"/>
      <c r="T83" s="118">
        <f>ELC_CEN!T142</f>
        <v>0.44700000000000001</v>
      </c>
      <c r="U83" s="118">
        <f>ELC_CEN!U142</f>
        <v>1.45275E-2</v>
      </c>
      <c r="V83" s="118">
        <f>ELC_CEN!V142</f>
        <v>2.276388888888889</v>
      </c>
      <c r="W83" s="118"/>
      <c r="X83" s="116"/>
      <c r="Y83" s="118"/>
      <c r="Z83" s="116"/>
      <c r="AA83" s="120">
        <f>ELC_CEN!AA142</f>
        <v>9</v>
      </c>
      <c r="AB83" s="120">
        <f>ELC_CEN!AB142</f>
        <v>3</v>
      </c>
      <c r="AC83" s="120">
        <f>ELC_CEN!AC142</f>
        <v>1</v>
      </c>
      <c r="AD83" s="126"/>
      <c r="AF83" s="118"/>
    </row>
    <row r="84" spans="1:32" s="8" customFormat="1">
      <c r="A84" s="116"/>
      <c r="B84" s="116"/>
      <c r="C84" s="122"/>
      <c r="D84" s="121"/>
      <c r="E84" s="319" t="s">
        <v>551</v>
      </c>
      <c r="F84" s="116">
        <f>ELC_CEN!F143</f>
        <v>2030</v>
      </c>
      <c r="G84" s="116"/>
      <c r="H84" s="118"/>
      <c r="I84" s="118"/>
      <c r="J84" s="118"/>
      <c r="K84" s="125">
        <f>ELC_CEN!K143</f>
        <v>1.06</v>
      </c>
      <c r="L84" s="125"/>
      <c r="M84" s="125"/>
      <c r="N84" s="163"/>
      <c r="O84" s="116"/>
      <c r="P84" s="116"/>
      <c r="Q84" s="116"/>
      <c r="R84" s="116"/>
      <c r="S84" s="116"/>
      <c r="T84" s="118">
        <f>ELC_CEN!T143</f>
        <v>0.37250000000000005</v>
      </c>
      <c r="U84" s="118">
        <f>ELC_CEN!U143</f>
        <v>1.4154999999999999E-2</v>
      </c>
      <c r="V84" s="118">
        <f>ELC_CEN!V143</f>
        <v>2.0694444444444446</v>
      </c>
      <c r="W84" s="118"/>
      <c r="X84" s="116"/>
      <c r="Y84" s="118"/>
      <c r="Z84" s="116"/>
      <c r="AA84" s="120">
        <f>ELC_CEN!AA143</f>
        <v>7</v>
      </c>
      <c r="AB84" s="120">
        <f>ELC_CEN!AB143</f>
        <v>2</v>
      </c>
      <c r="AC84" s="120">
        <f>ELC_CEN!AC143</f>
        <v>1</v>
      </c>
      <c r="AD84" s="126"/>
      <c r="AF84" s="118"/>
    </row>
    <row r="85" spans="1:32" s="8" customFormat="1">
      <c r="A85" s="116"/>
      <c r="B85" s="116"/>
      <c r="C85" s="122"/>
      <c r="D85" s="121"/>
      <c r="E85" s="319" t="s">
        <v>551</v>
      </c>
      <c r="F85" s="116">
        <f>ELC_CEN!F144</f>
        <v>2050</v>
      </c>
      <c r="G85" s="116"/>
      <c r="H85" s="118"/>
      <c r="I85" s="118"/>
      <c r="J85" s="118"/>
      <c r="K85" s="125">
        <f>ELC_CEN!K144</f>
        <v>1.06</v>
      </c>
      <c r="L85" s="125"/>
      <c r="M85" s="125"/>
      <c r="N85" s="163"/>
      <c r="O85" s="116"/>
      <c r="P85" s="116"/>
      <c r="Q85" s="116"/>
      <c r="R85" s="116"/>
      <c r="S85" s="116"/>
      <c r="T85" s="118">
        <f>ELC_CEN!T144</f>
        <v>0.37250000000000005</v>
      </c>
      <c r="U85" s="118">
        <f>ELC_CEN!U144</f>
        <v>1.2664999999999999E-2</v>
      </c>
      <c r="V85" s="118">
        <f>ELC_CEN!V144</f>
        <v>2.276388888888889</v>
      </c>
      <c r="W85" s="118"/>
      <c r="X85" s="116"/>
      <c r="Y85" s="118"/>
      <c r="Z85" s="116"/>
      <c r="AA85" s="120">
        <f>ELC_CEN!AA144</f>
        <v>6</v>
      </c>
      <c r="AB85" s="120">
        <f>ELC_CEN!AB144</f>
        <v>2</v>
      </c>
      <c r="AC85" s="120">
        <f>ELC_CEN!AC144</f>
        <v>1</v>
      </c>
      <c r="AD85" s="126"/>
      <c r="AF85" s="118"/>
    </row>
    <row r="86" spans="1:32" s="8" customFormat="1">
      <c r="A86" s="116" t="s">
        <v>484</v>
      </c>
      <c r="B86" s="439" t="s">
        <v>135</v>
      </c>
      <c r="C86" s="116" t="str">
        <f>ELC_CEN!C145</f>
        <v>ELCGEO</v>
      </c>
      <c r="D86" s="121" t="s">
        <v>138</v>
      </c>
      <c r="E86" s="319" t="s">
        <v>429</v>
      </c>
      <c r="F86" s="116">
        <f>ELC_CEN!F145</f>
        <v>2015</v>
      </c>
      <c r="G86" s="116">
        <f>ELC_CEN!G145</f>
        <v>2015</v>
      </c>
      <c r="H86" s="119">
        <f>ELC_CEN!H145</f>
        <v>0</v>
      </c>
      <c r="I86" s="155">
        <f>ELC_CEN!I145</f>
        <v>4.5454545454545456E-2</v>
      </c>
      <c r="J86" s="155">
        <f>ELC_CEN!J145</f>
        <v>0.43181818181818182</v>
      </c>
      <c r="K86" s="155">
        <f>ELC_CEN!K145</f>
        <v>0.95652173913043481</v>
      </c>
      <c r="L86" s="155">
        <f>ELC_CEN!L145</f>
        <v>4.5454545454545456E-2</v>
      </c>
      <c r="M86" s="155">
        <f>ELC_CEN!M145</f>
        <v>0.56818181818181823</v>
      </c>
      <c r="N86" s="155">
        <f>ELC_CEN!N145</f>
        <v>0.43181818181818182</v>
      </c>
      <c r="O86" s="155"/>
      <c r="P86" s="155"/>
      <c r="Q86" s="155"/>
      <c r="R86" s="155"/>
      <c r="S86" s="155"/>
      <c r="T86" s="118">
        <f>ELC_CEN!T145</f>
        <v>7.6193181818181817</v>
      </c>
      <c r="U86" s="118">
        <f>ELC_CEN!U145</f>
        <v>0.19894886363636366</v>
      </c>
      <c r="V86" s="118">
        <f>ELC_CEN!V145</f>
        <v>0</v>
      </c>
      <c r="W86" s="118">
        <f>ELC_CEN!W145</f>
        <v>3.1536000000000002E-2</v>
      </c>
      <c r="X86" s="116">
        <f>ELC_CEN!X145</f>
        <v>0.98</v>
      </c>
      <c r="Y86" s="118">
        <f>ELC_CEN!Y145</f>
        <v>1</v>
      </c>
      <c r="Z86" s="116">
        <f>ELC_CEN!Z145</f>
        <v>25</v>
      </c>
      <c r="AA86" s="120"/>
      <c r="AB86" s="120"/>
      <c r="AC86" s="120"/>
      <c r="AD86" s="126"/>
      <c r="AF86" s="118">
        <f>ELC_CEN!AF145</f>
        <v>4</v>
      </c>
    </row>
    <row r="87" spans="1:32" s="8" customFormat="1">
      <c r="A87" s="116"/>
      <c r="B87" s="116"/>
      <c r="C87" s="116" t="str">
        <f>ELC_CEN!C146</f>
        <v>ELCC</v>
      </c>
      <c r="D87" s="121"/>
      <c r="E87" s="319" t="s">
        <v>429</v>
      </c>
      <c r="F87" s="116">
        <f>ELC_CEN!F146</f>
        <v>2020</v>
      </c>
      <c r="G87" s="116"/>
      <c r="H87" s="118"/>
      <c r="I87" s="155">
        <f>ELC_CEN!I146</f>
        <v>4.5454545454545456E-2</v>
      </c>
      <c r="J87" s="155">
        <f>ELC_CEN!J146</f>
        <v>0.43181818181818182</v>
      </c>
      <c r="K87" s="155">
        <f>ELC_CEN!K146</f>
        <v>0.95652173913043481</v>
      </c>
      <c r="L87" s="155">
        <f>ELC_CEN!L146</f>
        <v>4.5454545454545456E-2</v>
      </c>
      <c r="M87" s="155">
        <f>ELC_CEN!M146</f>
        <v>0.56818181818181823</v>
      </c>
      <c r="N87" s="155">
        <f>ELC_CEN!N146</f>
        <v>0.43181818181818182</v>
      </c>
      <c r="O87" s="155"/>
      <c r="P87" s="155"/>
      <c r="Q87" s="155"/>
      <c r="R87" s="155"/>
      <c r="S87" s="155"/>
      <c r="T87" s="118">
        <f>ELC_CEN!T146</f>
        <v>6.984375</v>
      </c>
      <c r="U87" s="118">
        <f>ELC_CEN!U146</f>
        <v>0.18236979166666667</v>
      </c>
      <c r="V87" s="118">
        <f>ELC_CEN!V146</f>
        <v>0</v>
      </c>
      <c r="W87" s="118"/>
      <c r="X87" s="116"/>
      <c r="Y87" s="118"/>
      <c r="Z87" s="116"/>
      <c r="AA87" s="120"/>
      <c r="AB87" s="120"/>
      <c r="AC87" s="120"/>
      <c r="AD87" s="126"/>
      <c r="AE87" s="8">
        <v>5</v>
      </c>
      <c r="AF87" s="118"/>
    </row>
    <row r="88" spans="1:32" s="8" customFormat="1">
      <c r="A88" s="116"/>
      <c r="B88" s="116"/>
      <c r="C88" s="122" t="s">
        <v>323</v>
      </c>
      <c r="D88" s="121"/>
      <c r="E88" s="319" t="s">
        <v>429</v>
      </c>
      <c r="F88" s="116">
        <f>ELC_CEN!F147</f>
        <v>2030</v>
      </c>
      <c r="G88" s="116"/>
      <c r="H88" s="118"/>
      <c r="I88" s="155">
        <f>ELC_CEN!I147</f>
        <v>4.5454545454545456E-2</v>
      </c>
      <c r="J88" s="155">
        <f>ELC_CEN!J147</f>
        <v>0.43181818181818182</v>
      </c>
      <c r="K88" s="155">
        <f>ELC_CEN!K147</f>
        <v>0.95652173913043481</v>
      </c>
      <c r="L88" s="155">
        <f>ELC_CEN!L147</f>
        <v>4.5454545454545456E-2</v>
      </c>
      <c r="M88" s="155">
        <f>ELC_CEN!M147</f>
        <v>0.56818181818181823</v>
      </c>
      <c r="N88" s="155">
        <f>ELC_CEN!N147</f>
        <v>0.43181818181818182</v>
      </c>
      <c r="O88" s="155"/>
      <c r="P88" s="155"/>
      <c r="Q88" s="155"/>
      <c r="R88" s="155"/>
      <c r="S88" s="155"/>
      <c r="T88" s="118">
        <f>ELC_CEN!T147</f>
        <v>6.3494318181818183</v>
      </c>
      <c r="U88" s="118">
        <f>ELC_CEN!U147</f>
        <v>0.16579071969696973</v>
      </c>
      <c r="V88" s="118">
        <f>ELC_CEN!V147</f>
        <v>0</v>
      </c>
      <c r="W88" s="118"/>
      <c r="X88" s="116"/>
      <c r="Y88" s="118"/>
      <c r="Z88" s="116"/>
      <c r="AA88" s="120"/>
      <c r="AB88" s="120"/>
      <c r="AC88" s="120"/>
      <c r="AD88" s="126"/>
      <c r="AE88" s="8">
        <v>5</v>
      </c>
      <c r="AF88" s="118"/>
    </row>
    <row r="89" spans="1:32" s="8" customFormat="1">
      <c r="A89" s="116"/>
      <c r="B89" s="116"/>
      <c r="C89" s="122"/>
      <c r="D89" s="121"/>
      <c r="E89" s="319" t="s">
        <v>429</v>
      </c>
      <c r="F89" s="116">
        <f>ELC_CEN!F148</f>
        <v>2050</v>
      </c>
      <c r="G89" s="116"/>
      <c r="H89" s="118"/>
      <c r="I89" s="155">
        <f>ELC_CEN!I148</f>
        <v>4.5454545454545456E-2</v>
      </c>
      <c r="J89" s="155">
        <f>ELC_CEN!J148</f>
        <v>0.43181818181818182</v>
      </c>
      <c r="K89" s="155">
        <f>ELC_CEN!K148</f>
        <v>0.95652173913043481</v>
      </c>
      <c r="L89" s="155">
        <f>ELC_CEN!L148</f>
        <v>4.5454545454545456E-2</v>
      </c>
      <c r="M89" s="155">
        <f>ELC_CEN!M148</f>
        <v>0.56818181818181823</v>
      </c>
      <c r="N89" s="155">
        <f>ELC_CEN!N148</f>
        <v>0.43181818181818182</v>
      </c>
      <c r="O89" s="155"/>
      <c r="P89" s="155"/>
      <c r="Q89" s="155"/>
      <c r="R89" s="155"/>
      <c r="S89" s="155"/>
      <c r="T89" s="118">
        <f>ELC_CEN!T148</f>
        <v>5.7144886363636367</v>
      </c>
      <c r="U89" s="118">
        <f>ELC_CEN!U148</f>
        <v>0.15473800505050508</v>
      </c>
      <c r="V89" s="118">
        <f>ELC_CEN!V148</f>
        <v>0</v>
      </c>
      <c r="W89" s="118"/>
      <c r="X89" s="116"/>
      <c r="Y89" s="118"/>
      <c r="Z89" s="116"/>
      <c r="AA89" s="120"/>
      <c r="AB89" s="120"/>
      <c r="AC89" s="120"/>
      <c r="AD89" s="126"/>
      <c r="AF89" s="118"/>
    </row>
    <row r="90" spans="1:32" s="8" customFormat="1">
      <c r="A90" s="116" t="s">
        <v>485</v>
      </c>
      <c r="B90" s="116" t="s">
        <v>136</v>
      </c>
      <c r="C90" s="116" t="str">
        <f>ELC_CEN!C149</f>
        <v>ELCGEO</v>
      </c>
      <c r="D90" s="121" t="s">
        <v>138</v>
      </c>
      <c r="E90" s="319" t="s">
        <v>429</v>
      </c>
      <c r="F90" s="116">
        <f>ELC_CEN!F149</f>
        <v>2015</v>
      </c>
      <c r="G90" s="116">
        <f>ELC_CEN!G149</f>
        <v>2015</v>
      </c>
      <c r="H90" s="119">
        <f>ELC_CEN!H149</f>
        <v>26</v>
      </c>
      <c r="I90" s="155">
        <f>ELC_CEN!I149</f>
        <v>2.403846153846154E-2</v>
      </c>
      <c r="J90" s="155">
        <f>ELC_CEN!J149</f>
        <v>0.51923076923076927</v>
      </c>
      <c r="K90" s="155">
        <f>ELC_CEN!K149</f>
        <v>0.97652582159624401</v>
      </c>
      <c r="L90" s="155">
        <f>ELC_CEN!L149</f>
        <v>2.403846153846154E-2</v>
      </c>
      <c r="M90" s="155">
        <f>ELC_CEN!M149</f>
        <v>0.48076923076923078</v>
      </c>
      <c r="N90" s="155">
        <f>ELC_CEN!N149</f>
        <v>0.51923076923076927</v>
      </c>
      <c r="O90" s="155"/>
      <c r="P90" s="155"/>
      <c r="Q90" s="155"/>
      <c r="R90" s="155"/>
      <c r="S90" s="155"/>
      <c r="T90" s="118">
        <f>ELC_CEN!T149</f>
        <v>7.1634615384615383</v>
      </c>
      <c r="U90" s="118">
        <f>ELC_CEN!U149</f>
        <v>0.1755048076923077</v>
      </c>
      <c r="V90" s="118">
        <f>ELC_CEN!V149</f>
        <v>0</v>
      </c>
      <c r="W90" s="118">
        <f>ELC_CEN!W149</f>
        <v>3.1536000000000002E-2</v>
      </c>
      <c r="X90" s="118">
        <f>ELC_CEN!X149</f>
        <v>0.98</v>
      </c>
      <c r="Y90" s="116">
        <f>ELC_CEN!Y149</f>
        <v>1</v>
      </c>
      <c r="Z90" s="116">
        <f>ELC_CEN!Z149</f>
        <v>25</v>
      </c>
      <c r="AA90" s="120"/>
      <c r="AB90" s="120"/>
      <c r="AC90" s="120"/>
      <c r="AD90" s="126"/>
      <c r="AF90" s="118">
        <f>ELC_CEN!AF149</f>
        <v>4</v>
      </c>
    </row>
    <row r="91" spans="1:32" s="8" customFormat="1">
      <c r="A91" s="116"/>
      <c r="B91" s="116"/>
      <c r="C91" s="116" t="str">
        <f>ELC_CEN!C150</f>
        <v>ELCC</v>
      </c>
      <c r="D91" s="121"/>
      <c r="E91" s="319" t="s">
        <v>429</v>
      </c>
      <c r="F91" s="116">
        <f>ELC_CEN!F150</f>
        <v>2020</v>
      </c>
      <c r="G91" s="116"/>
      <c r="H91" s="118"/>
      <c r="I91" s="155">
        <f>ELC_CEN!I150</f>
        <v>2.403846153846154E-2</v>
      </c>
      <c r="J91" s="155">
        <f>ELC_CEN!J150</f>
        <v>0.51923076923076927</v>
      </c>
      <c r="K91" s="155">
        <f>ELC_CEN!K150</f>
        <v>0.97652582159624401</v>
      </c>
      <c r="L91" s="155">
        <f>ELC_CEN!L150</f>
        <v>2.403846153846154E-2</v>
      </c>
      <c r="M91" s="155">
        <f>ELC_CEN!M150</f>
        <v>0.48076923076923078</v>
      </c>
      <c r="N91" s="155">
        <f>ELC_CEN!N150</f>
        <v>0.51923076923076927</v>
      </c>
      <c r="O91" s="155"/>
      <c r="P91" s="155"/>
      <c r="Q91" s="155"/>
      <c r="R91" s="155"/>
      <c r="S91" s="155"/>
      <c r="T91" s="118">
        <f>ELC_CEN!T150</f>
        <v>7.1634615384615383</v>
      </c>
      <c r="U91" s="118">
        <f>ELC_CEN!U150</f>
        <v>0.1755048076923077</v>
      </c>
      <c r="V91" s="118">
        <f>ELC_CEN!V150</f>
        <v>0</v>
      </c>
      <c r="W91" s="118"/>
      <c r="X91" s="118"/>
      <c r="Y91" s="118"/>
      <c r="Z91" s="116"/>
      <c r="AA91" s="120"/>
      <c r="AB91" s="120"/>
      <c r="AC91" s="120"/>
      <c r="AD91" s="126"/>
      <c r="AE91" s="8">
        <v>5</v>
      </c>
      <c r="AF91" s="118"/>
    </row>
    <row r="92" spans="1:32" s="8" customFormat="1">
      <c r="A92" s="116"/>
      <c r="B92" s="116"/>
      <c r="C92" s="116" t="s">
        <v>323</v>
      </c>
      <c r="D92" s="121"/>
      <c r="E92" s="319" t="s">
        <v>429</v>
      </c>
      <c r="F92" s="116">
        <f>ELC_CEN!F151</f>
        <v>2030</v>
      </c>
      <c r="G92" s="116"/>
      <c r="H92" s="118"/>
      <c r="I92" s="155">
        <f>ELC_CEN!I151</f>
        <v>2.403846153846154E-2</v>
      </c>
      <c r="J92" s="155">
        <f>ELC_CEN!J151</f>
        <v>0.51923076923076927</v>
      </c>
      <c r="K92" s="155">
        <f>ELC_CEN!K151</f>
        <v>0.97652582159624401</v>
      </c>
      <c r="L92" s="155">
        <f>ELC_CEN!L151</f>
        <v>2.403846153846154E-2</v>
      </c>
      <c r="M92" s="155">
        <f>ELC_CEN!M151</f>
        <v>0.48076923076923078</v>
      </c>
      <c r="N92" s="155">
        <f>ELC_CEN!N151</f>
        <v>0.51923076923076927</v>
      </c>
      <c r="O92" s="155"/>
      <c r="P92" s="155"/>
      <c r="Q92" s="155"/>
      <c r="R92" s="155"/>
      <c r="S92" s="155"/>
      <c r="T92" s="118">
        <f>ELC_CEN!T151</f>
        <v>7.1634615384615383</v>
      </c>
      <c r="U92" s="118">
        <f>ELC_CEN!U151</f>
        <v>0.1755048076923077</v>
      </c>
      <c r="V92" s="118">
        <f>ELC_CEN!V151</f>
        <v>0</v>
      </c>
      <c r="W92" s="118"/>
      <c r="X92" s="118"/>
      <c r="Y92" s="118"/>
      <c r="Z92" s="116"/>
      <c r="AA92" s="120"/>
      <c r="AB92" s="120"/>
      <c r="AC92" s="120"/>
      <c r="AD92" s="126"/>
      <c r="AE92" s="8">
        <v>5</v>
      </c>
      <c r="AF92" s="118"/>
    </row>
    <row r="93" spans="1:32" s="8" customFormat="1">
      <c r="A93" s="116"/>
      <c r="B93" s="116"/>
      <c r="D93" s="121"/>
      <c r="E93" s="319" t="s">
        <v>429</v>
      </c>
      <c r="F93" s="116">
        <f>ELC_CEN!F152</f>
        <v>2050</v>
      </c>
      <c r="G93" s="116"/>
      <c r="H93" s="118"/>
      <c r="I93" s="155">
        <f>ELC_CEN!I152</f>
        <v>2.403846153846154E-2</v>
      </c>
      <c r="J93" s="155">
        <f>ELC_CEN!J152</f>
        <v>0.51923076923076927</v>
      </c>
      <c r="K93" s="155">
        <f>ELC_CEN!K152</f>
        <v>0.97652582159624401</v>
      </c>
      <c r="L93" s="155">
        <f>ELC_CEN!L152</f>
        <v>2.403846153846154E-2</v>
      </c>
      <c r="M93" s="155">
        <f>ELC_CEN!M152</f>
        <v>0.48076923076923078</v>
      </c>
      <c r="N93" s="155">
        <f>ELC_CEN!N152</f>
        <v>0.51923076923076927</v>
      </c>
      <c r="O93" s="155"/>
      <c r="P93" s="155"/>
      <c r="Q93" s="155"/>
      <c r="R93" s="155"/>
      <c r="S93" s="155"/>
      <c r="T93" s="118">
        <f>ELC_CEN!T152</f>
        <v>7.1634615384615383</v>
      </c>
      <c r="U93" s="118">
        <f>ELC_CEN!U152</f>
        <v>0.1755048076923077</v>
      </c>
      <c r="V93" s="118">
        <f>ELC_CEN!V152</f>
        <v>0</v>
      </c>
      <c r="W93" s="118"/>
      <c r="X93" s="118"/>
      <c r="Y93" s="118"/>
      <c r="Z93" s="116"/>
      <c r="AA93" s="120"/>
      <c r="AB93" s="120"/>
      <c r="AC93" s="120"/>
      <c r="AD93" s="126"/>
      <c r="AF93" s="118"/>
    </row>
    <row r="94" spans="1:32" s="8" customFormat="1">
      <c r="A94" s="116" t="s">
        <v>486</v>
      </c>
      <c r="B94" s="116" t="s">
        <v>137</v>
      </c>
      <c r="C94" s="116" t="str">
        <f>ELC_CEN!C153</f>
        <v>ELCGEO</v>
      </c>
      <c r="D94" s="121" t="s">
        <v>138</v>
      </c>
      <c r="E94" s="319" t="s">
        <v>429</v>
      </c>
      <c r="F94" s="116">
        <f>ELC_CEN!F153</f>
        <v>2015</v>
      </c>
      <c r="G94" s="116">
        <f>ELC_CEN!G153</f>
        <v>2015</v>
      </c>
      <c r="H94" s="119">
        <f>ELC_CEN!H153</f>
        <v>0</v>
      </c>
      <c r="I94" s="155">
        <f>ELC_CEN!I153</f>
        <v>0.21367521367521367</v>
      </c>
      <c r="J94" s="155"/>
      <c r="K94" s="155">
        <f>ELC_CEN!K153</f>
        <v>0.93600000000000005</v>
      </c>
      <c r="L94" s="155">
        <f>ELC_CEN!L153</f>
        <v>0.21367521367521367</v>
      </c>
      <c r="M94" s="155">
        <f>ELC_CEN!M153</f>
        <v>0.85470085470085466</v>
      </c>
      <c r="N94" s="155"/>
      <c r="O94" s="155"/>
      <c r="P94" s="155"/>
      <c r="Q94" s="155"/>
      <c r="R94" s="155"/>
      <c r="S94" s="155"/>
      <c r="T94" s="118">
        <f>ELC_CEN!T153</f>
        <v>10.188034188034189</v>
      </c>
      <c r="U94" s="118">
        <f>ELC_CEN!U153</f>
        <v>0.2355982905982906</v>
      </c>
      <c r="V94" s="118">
        <f>ELC_CEN!V153</f>
        <v>0</v>
      </c>
      <c r="W94" s="118">
        <f>ELC_CEN!W153</f>
        <v>3.1536000000000002E-2</v>
      </c>
      <c r="X94" s="116">
        <f>ELC_CEN!X153</f>
        <v>0.98</v>
      </c>
      <c r="Y94" s="118">
        <f>ELC_CEN!Y153</f>
        <v>1</v>
      </c>
      <c r="Z94" s="116">
        <f>ELC_CEN!Z153</f>
        <v>25</v>
      </c>
      <c r="AA94" s="120"/>
      <c r="AB94" s="120"/>
      <c r="AC94" s="120"/>
      <c r="AD94" s="126"/>
      <c r="AF94" s="118">
        <f>ELC_CEN!AF153</f>
        <v>4</v>
      </c>
    </row>
    <row r="95" spans="1:32" s="8" customFormat="1">
      <c r="A95" s="116"/>
      <c r="B95" s="116"/>
      <c r="C95" s="116" t="str">
        <f>ELC_CEN!C154</f>
        <v>ELCC</v>
      </c>
      <c r="D95" s="121"/>
      <c r="E95" s="319" t="s">
        <v>429</v>
      </c>
      <c r="F95" s="116">
        <f>ELC_CEN!F154</f>
        <v>2020</v>
      </c>
      <c r="G95" s="116"/>
      <c r="H95" s="118"/>
      <c r="I95" s="155">
        <f>ELC_CEN!I154</f>
        <v>0.21367521367521367</v>
      </c>
      <c r="J95" s="155"/>
      <c r="K95" s="155">
        <f>ELC_CEN!K154</f>
        <v>0.93600000000000005</v>
      </c>
      <c r="L95" s="155">
        <f>ELC_CEN!L154</f>
        <v>0.21367521367521367</v>
      </c>
      <c r="M95" s="155">
        <f>ELC_CEN!M154</f>
        <v>0.85470085470085466</v>
      </c>
      <c r="N95" s="155"/>
      <c r="O95" s="155"/>
      <c r="P95" s="155"/>
      <c r="Q95" s="155"/>
      <c r="R95" s="155"/>
      <c r="S95" s="155"/>
      <c r="T95" s="118">
        <f>ELC_CEN!T154</f>
        <v>10.188034188034189</v>
      </c>
      <c r="U95" s="118">
        <f>ELC_CEN!U154</f>
        <v>0.21649572649572651</v>
      </c>
      <c r="V95" s="118">
        <f>ELC_CEN!V154</f>
        <v>0</v>
      </c>
      <c r="W95" s="118"/>
      <c r="X95" s="116"/>
      <c r="Y95" s="116"/>
      <c r="Z95" s="116"/>
      <c r="AA95" s="120"/>
      <c r="AB95" s="120"/>
      <c r="AC95" s="120"/>
      <c r="AD95" s="126"/>
      <c r="AE95" s="8">
        <v>5</v>
      </c>
      <c r="AF95" s="118"/>
    </row>
    <row r="96" spans="1:32" s="8" customFormat="1">
      <c r="A96" s="116"/>
      <c r="B96" s="116"/>
      <c r="C96" s="116"/>
      <c r="D96" s="121"/>
      <c r="E96" s="319" t="s">
        <v>429</v>
      </c>
      <c r="F96" s="116">
        <f>ELC_CEN!F155</f>
        <v>2030</v>
      </c>
      <c r="G96" s="116"/>
      <c r="H96" s="118"/>
      <c r="I96" s="155">
        <f>ELC_CEN!I155</f>
        <v>0.21367521367521367</v>
      </c>
      <c r="J96" s="155"/>
      <c r="K96" s="155">
        <f>ELC_CEN!K155</f>
        <v>0.93600000000000005</v>
      </c>
      <c r="L96" s="155">
        <f>ELC_CEN!L155</f>
        <v>0.21367521367521367</v>
      </c>
      <c r="M96" s="155">
        <f>ELC_CEN!M155</f>
        <v>0.85470085470085466</v>
      </c>
      <c r="N96" s="155"/>
      <c r="O96" s="155"/>
      <c r="P96" s="155"/>
      <c r="Q96" s="155"/>
      <c r="R96" s="155"/>
      <c r="S96" s="155"/>
      <c r="T96" s="118">
        <f>ELC_CEN!T155</f>
        <v>10.188034188034189</v>
      </c>
      <c r="U96" s="118">
        <f>ELC_CEN!U155</f>
        <v>0.21649572649572651</v>
      </c>
      <c r="V96" s="118">
        <f>ELC_CEN!V155</f>
        <v>0</v>
      </c>
      <c r="W96" s="118"/>
      <c r="X96" s="116"/>
      <c r="Y96" s="116"/>
      <c r="Z96" s="116"/>
      <c r="AA96" s="120"/>
      <c r="AB96" s="120"/>
      <c r="AC96" s="120"/>
      <c r="AD96" s="126"/>
      <c r="AF96" s="118"/>
    </row>
    <row r="97" spans="1:34" s="8" customFormat="1">
      <c r="A97" s="116"/>
      <c r="B97" s="116"/>
      <c r="C97" s="116"/>
      <c r="D97" s="121"/>
      <c r="E97" s="319" t="s">
        <v>429</v>
      </c>
      <c r="F97" s="116">
        <f>ELC_CEN!F156</f>
        <v>2050</v>
      </c>
      <c r="G97" s="116"/>
      <c r="H97" s="118"/>
      <c r="I97" s="155">
        <f>ELC_CEN!I156</f>
        <v>0.21367521367521367</v>
      </c>
      <c r="J97" s="155"/>
      <c r="K97" s="155">
        <f>ELC_CEN!K156</f>
        <v>0.93600000000000005</v>
      </c>
      <c r="L97" s="155">
        <f>ELC_CEN!L156</f>
        <v>0.21367521367521367</v>
      </c>
      <c r="M97" s="155">
        <f>ELC_CEN!M156</f>
        <v>0.85470085470085466</v>
      </c>
      <c r="N97" s="155"/>
      <c r="O97" s="155"/>
      <c r="P97" s="155"/>
      <c r="Q97" s="155"/>
      <c r="R97" s="155"/>
      <c r="S97" s="155"/>
      <c r="T97" s="118">
        <f>ELC_CEN!T156</f>
        <v>10.188034188034189</v>
      </c>
      <c r="U97" s="118">
        <f>ELC_CEN!U156</f>
        <v>0.21649572649572651</v>
      </c>
      <c r="V97" s="118">
        <f>ELC_CEN!V156</f>
        <v>0</v>
      </c>
      <c r="W97" s="118"/>
      <c r="X97" s="116"/>
      <c r="Y97" s="116"/>
      <c r="Z97" s="116"/>
      <c r="AA97" s="120"/>
      <c r="AB97" s="120"/>
      <c r="AC97" s="120"/>
      <c r="AD97" s="126"/>
      <c r="AF97" s="118"/>
    </row>
    <row r="98" spans="1:34">
      <c r="A98" s="116" t="s">
        <v>487</v>
      </c>
      <c r="B98" s="116" t="s">
        <v>178</v>
      </c>
      <c r="C98" s="116" t="s">
        <v>93</v>
      </c>
      <c r="D98" s="121" t="s">
        <v>138</v>
      </c>
      <c r="E98" s="319" t="s">
        <v>429</v>
      </c>
      <c r="F98" s="116">
        <f>ELC_CEN!F157</f>
        <v>2015</v>
      </c>
      <c r="G98" s="116">
        <f>ELC_CEN!G157</f>
        <v>2015</v>
      </c>
      <c r="H98" s="116">
        <f>ELC_CEN!H157</f>
        <v>0</v>
      </c>
      <c r="I98" s="155"/>
      <c r="J98" s="155"/>
      <c r="K98" s="155">
        <f>ELC_CEN!K157</f>
        <v>1</v>
      </c>
      <c r="L98" s="155"/>
      <c r="M98" s="155"/>
      <c r="N98" s="155"/>
      <c r="O98" s="155"/>
      <c r="P98" s="155"/>
      <c r="Q98" s="155"/>
      <c r="R98" s="155"/>
      <c r="S98" s="155"/>
      <c r="T98" s="120">
        <f>ELC_CEN!T157</f>
        <v>2.5758375</v>
      </c>
      <c r="U98" s="120">
        <f>ELC_CEN!U157</f>
        <v>0</v>
      </c>
      <c r="V98" s="120">
        <f>ELC_CEN!V157</f>
        <v>1.1795833333333334</v>
      </c>
      <c r="W98" s="118">
        <f>ELC_CEN!W157</f>
        <v>3.1536000000000002E-2</v>
      </c>
      <c r="X98" s="118">
        <f>ELC_CEN!X157</f>
        <v>0</v>
      </c>
      <c r="Y98" s="116">
        <f>ELC_CEN!Y157</f>
        <v>0.3</v>
      </c>
      <c r="Z98" s="116">
        <f>ELC_CEN!Z157</f>
        <v>30</v>
      </c>
      <c r="AA98" s="120"/>
      <c r="AB98" s="120"/>
      <c r="AC98" s="120"/>
      <c r="AD98" s="126"/>
      <c r="AF98" s="120"/>
      <c r="AH98" s="8"/>
    </row>
    <row r="99" spans="1:34">
      <c r="A99" s="116"/>
      <c r="B99" s="116"/>
      <c r="C99" s="116"/>
      <c r="D99" s="121"/>
      <c r="E99" s="319" t="s">
        <v>429</v>
      </c>
      <c r="F99" s="116">
        <f>ELC_CEN!F158</f>
        <v>2020</v>
      </c>
      <c r="G99" s="116"/>
      <c r="H99" s="116"/>
      <c r="I99" s="155"/>
      <c r="J99" s="155"/>
      <c r="K99" s="155">
        <f>ELC_CEN!K158</f>
        <v>1</v>
      </c>
      <c r="L99" s="155"/>
      <c r="M99" s="155"/>
      <c r="N99" s="155"/>
      <c r="O99" s="155"/>
      <c r="P99" s="155"/>
      <c r="Q99" s="155"/>
      <c r="R99" s="155"/>
      <c r="S99" s="155"/>
      <c r="T99" s="120">
        <f>ELC_CEN!T158</f>
        <v>2.3579250000000003</v>
      </c>
      <c r="U99" s="120">
        <f>ELC_CEN!U158</f>
        <v>0</v>
      </c>
      <c r="V99" s="120">
        <f>ELC_CEN!V158</f>
        <v>1.1795833333333334</v>
      </c>
      <c r="W99" s="116"/>
      <c r="X99" s="116"/>
      <c r="Y99" s="116"/>
      <c r="Z99" s="116"/>
      <c r="AA99" s="120"/>
      <c r="AB99" s="120"/>
      <c r="AC99" s="120"/>
      <c r="AD99" s="126"/>
      <c r="AF99" s="120"/>
      <c r="AH99" s="8"/>
    </row>
    <row r="100" spans="1:34">
      <c r="A100" s="116"/>
      <c r="B100" s="116"/>
      <c r="C100" s="116"/>
      <c r="D100" s="121"/>
      <c r="E100" s="319" t="s">
        <v>429</v>
      </c>
      <c r="F100" s="116">
        <f>ELC_CEN!F159</f>
        <v>2030</v>
      </c>
      <c r="G100" s="116"/>
      <c r="H100" s="116"/>
      <c r="I100" s="155"/>
      <c r="J100" s="155"/>
      <c r="K100" s="155">
        <f>ELC_CEN!K159</f>
        <v>1</v>
      </c>
      <c r="L100" s="155"/>
      <c r="M100" s="155"/>
      <c r="N100" s="155"/>
      <c r="O100" s="155"/>
      <c r="P100" s="155"/>
      <c r="Q100" s="155"/>
      <c r="R100" s="155"/>
      <c r="S100" s="155"/>
      <c r="T100" s="120">
        <f>ELC_CEN!T159</f>
        <v>1.910925</v>
      </c>
      <c r="U100" s="120">
        <f>ELC_CEN!U159</f>
        <v>0</v>
      </c>
      <c r="V100" s="120">
        <f>ELC_CEN!V159</f>
        <v>1.1795833333333334</v>
      </c>
      <c r="W100" s="116"/>
      <c r="X100" s="116"/>
      <c r="Y100" s="116"/>
      <c r="Z100" s="116"/>
      <c r="AA100" s="120"/>
      <c r="AB100" s="120"/>
      <c r="AC100" s="120"/>
      <c r="AD100" s="126"/>
      <c r="AF100" s="120"/>
      <c r="AH100" s="8"/>
    </row>
    <row r="101" spans="1:34">
      <c r="A101" s="116"/>
      <c r="B101" s="116"/>
      <c r="C101" s="116"/>
      <c r="D101" s="121"/>
      <c r="E101" s="319" t="s">
        <v>429</v>
      </c>
      <c r="F101" s="116">
        <f>ELC_CEN!F160</f>
        <v>2050</v>
      </c>
      <c r="G101" s="116"/>
      <c r="H101" s="116"/>
      <c r="I101" s="155"/>
      <c r="J101" s="155"/>
      <c r="K101" s="155">
        <f>ELC_CEN!K160</f>
        <v>1</v>
      </c>
      <c r="L101" s="155"/>
      <c r="M101" s="155"/>
      <c r="N101" s="155"/>
      <c r="O101" s="155"/>
      <c r="P101" s="155"/>
      <c r="Q101" s="155"/>
      <c r="R101" s="155"/>
      <c r="S101" s="155"/>
      <c r="T101" s="120">
        <f>ELC_CEN!T160</f>
        <v>1.910925</v>
      </c>
      <c r="U101" s="120">
        <f>ELC_CEN!U160</f>
        <v>0</v>
      </c>
      <c r="V101" s="120">
        <f>ELC_CEN!V160</f>
        <v>1.1795833333333334</v>
      </c>
      <c r="W101" s="116"/>
      <c r="X101" s="116"/>
      <c r="Y101" s="116"/>
      <c r="Z101" s="116"/>
      <c r="AA101" s="120"/>
      <c r="AB101" s="120"/>
      <c r="AC101" s="120"/>
      <c r="AD101" s="126"/>
      <c r="AF101" s="120"/>
      <c r="AH101" s="8"/>
    </row>
    <row r="102" spans="1:34" s="301" customFormat="1">
      <c r="A102" s="116" t="s">
        <v>488</v>
      </c>
      <c r="B102" s="116" t="s">
        <v>408</v>
      </c>
      <c r="C102" s="116" t="str">
        <f>ELC_CEN!C161</f>
        <v>ELCWST</v>
      </c>
      <c r="D102" s="116" t="s">
        <v>138</v>
      </c>
      <c r="E102" s="319" t="s">
        <v>429</v>
      </c>
      <c r="F102" s="116">
        <f>ELC_CEN!F161</f>
        <v>2015</v>
      </c>
      <c r="G102" s="116">
        <f>ELC_CEN!G161</f>
        <v>2015</v>
      </c>
      <c r="H102" s="116">
        <f>ELC_CEN!H161</f>
        <v>37</v>
      </c>
      <c r="I102" s="116"/>
      <c r="J102" s="116"/>
      <c r="K102" s="116">
        <f>ELC_CEN!K161</f>
        <v>1.0569999999999999</v>
      </c>
      <c r="L102" s="155"/>
      <c r="M102" s="155"/>
      <c r="N102" s="155"/>
      <c r="O102" s="155"/>
      <c r="P102" s="155"/>
      <c r="Q102" s="155"/>
      <c r="R102" s="155"/>
      <c r="S102" s="155"/>
      <c r="T102" s="120">
        <f>ELC_CEN!T161</f>
        <v>14.154999999999999</v>
      </c>
      <c r="U102" s="120">
        <f>ELC_CEN!U161</f>
        <v>0.59599999999999997</v>
      </c>
      <c r="V102" s="120">
        <f>ELC_CEN!V161</f>
        <v>12.416666666666668</v>
      </c>
      <c r="W102" s="118">
        <f>ELC_CEN!W161</f>
        <v>0.03</v>
      </c>
      <c r="X102" s="118">
        <f>ELC_CEN!X161</f>
        <v>0.95</v>
      </c>
      <c r="Y102" s="116">
        <f>ELC_CEN!Y161</f>
        <v>1</v>
      </c>
      <c r="Z102" s="116">
        <f>ELC_CEN!Z161</f>
        <v>25</v>
      </c>
      <c r="AA102" s="120"/>
      <c r="AB102" s="120"/>
      <c r="AC102" s="120"/>
      <c r="AD102" s="126"/>
      <c r="AF102" s="120">
        <f>ELC_CEN!AF161</f>
        <v>2</v>
      </c>
    </row>
    <row r="103" spans="1:34" s="301" customFormat="1">
      <c r="A103" s="116"/>
      <c r="B103" s="116"/>
      <c r="C103" s="116"/>
      <c r="D103" s="122"/>
      <c r="E103" s="319" t="s">
        <v>429</v>
      </c>
      <c r="F103" s="116">
        <f>ELC_CEN!F162</f>
        <v>2020</v>
      </c>
      <c r="G103" s="116"/>
      <c r="H103" s="116"/>
      <c r="I103" s="155"/>
      <c r="J103" s="155"/>
      <c r="K103" s="116">
        <f>ELC_CEN!K162</f>
        <v>1.0569999999999999</v>
      </c>
      <c r="L103" s="155"/>
      <c r="M103" s="155"/>
      <c r="N103" s="155"/>
      <c r="O103" s="155"/>
      <c r="P103" s="155"/>
      <c r="Q103" s="155"/>
      <c r="R103" s="155"/>
      <c r="S103" s="155"/>
      <c r="T103" s="120">
        <f>ELC_CEN!T162</f>
        <v>13.41</v>
      </c>
      <c r="U103" s="120">
        <f>ELC_CEN!U162</f>
        <v>0.57364999999999999</v>
      </c>
      <c r="V103" s="120">
        <f>ELC_CEN!V162</f>
        <v>12.416666666666668</v>
      </c>
      <c r="W103" s="116"/>
      <c r="X103" s="116"/>
      <c r="Y103" s="116"/>
      <c r="Z103" s="116"/>
      <c r="AA103" s="120"/>
      <c r="AB103" s="120"/>
      <c r="AC103" s="120"/>
      <c r="AD103" s="126"/>
      <c r="AF103" s="120"/>
    </row>
    <row r="104" spans="1:34" s="301" customFormat="1">
      <c r="E104" s="319" t="s">
        <v>429</v>
      </c>
      <c r="F104" s="116">
        <f>ELC_CEN!F163</f>
        <v>2030</v>
      </c>
      <c r="K104" s="116">
        <f>ELC_CEN!K163</f>
        <v>1.06</v>
      </c>
      <c r="N104" s="46"/>
      <c r="T104" s="120">
        <f>ELC_CEN!T163</f>
        <v>12.664999999999999</v>
      </c>
      <c r="U104" s="120">
        <f>ELC_CEN!U163</f>
        <v>0.53639999999999999</v>
      </c>
      <c r="V104" s="120">
        <f>ELC_CEN!V163</f>
        <v>12.416666666666668</v>
      </c>
      <c r="AF104" s="120"/>
    </row>
    <row r="105" spans="1:34" s="301" customFormat="1">
      <c r="E105" s="319" t="s">
        <v>429</v>
      </c>
      <c r="F105" s="116">
        <f>ELC_CEN!F164</f>
        <v>2050</v>
      </c>
      <c r="K105" s="116">
        <f>ELC_CEN!K164</f>
        <v>1.0649999999999999</v>
      </c>
      <c r="N105" s="46"/>
      <c r="T105" s="120">
        <f>ELC_CEN!T164</f>
        <v>11.920000000000002</v>
      </c>
      <c r="U105" s="120">
        <f>ELC_CEN!U164</f>
        <v>0.48425000000000001</v>
      </c>
      <c r="V105" s="120">
        <f>ELC_CEN!V164</f>
        <v>12.416666666666668</v>
      </c>
      <c r="AF105" s="120"/>
    </row>
    <row r="106" spans="1:34">
      <c r="I106" s="8"/>
      <c r="M106" s="163"/>
      <c r="Z106" s="8"/>
    </row>
    <row r="107" spans="1:34">
      <c r="A107" s="285" t="s">
        <v>49</v>
      </c>
      <c r="B107" s="286"/>
      <c r="C107" s="286"/>
      <c r="D107" s="286"/>
      <c r="E107" s="286"/>
      <c r="F107" s="286"/>
      <c r="G107" s="286"/>
      <c r="H107" s="286"/>
      <c r="I107" s="11"/>
      <c r="M107" s="163"/>
      <c r="Y107" s="8"/>
    </row>
    <row r="108" spans="1:34">
      <c r="A108" s="287" t="s">
        <v>50</v>
      </c>
      <c r="B108" s="287" t="s">
        <v>1</v>
      </c>
      <c r="C108" s="287" t="s">
        <v>51</v>
      </c>
      <c r="D108" s="287" t="s">
        <v>52</v>
      </c>
      <c r="E108" s="287" t="s">
        <v>53</v>
      </c>
      <c r="F108" s="287" t="s">
        <v>54</v>
      </c>
      <c r="G108" s="287" t="s">
        <v>55</v>
      </c>
      <c r="H108" s="287" t="s">
        <v>56</v>
      </c>
      <c r="I108" s="295"/>
      <c r="M108" s="163"/>
      <c r="Y108" s="8"/>
    </row>
    <row r="109" spans="1:34" ht="42" thickBot="1">
      <c r="A109" s="288" t="s">
        <v>57</v>
      </c>
      <c r="B109" s="288" t="s">
        <v>58</v>
      </c>
      <c r="C109" s="288" t="s">
        <v>59</v>
      </c>
      <c r="D109" s="288" t="s">
        <v>60</v>
      </c>
      <c r="E109" s="288" t="s">
        <v>61</v>
      </c>
      <c r="F109" s="288" t="s">
        <v>62</v>
      </c>
      <c r="G109" s="288" t="s">
        <v>63</v>
      </c>
      <c r="H109" s="288" t="s">
        <v>64</v>
      </c>
      <c r="I109" s="296"/>
      <c r="M109" s="163"/>
      <c r="Y109" s="8"/>
    </row>
    <row r="110" spans="1:34">
      <c r="A110" s="276" t="s">
        <v>65</v>
      </c>
      <c r="B110" s="289" t="str">
        <f>A14</f>
        <v>ECNGAGTBPD5N</v>
      </c>
      <c r="C110" s="289" t="s">
        <v>120</v>
      </c>
      <c r="D110" s="290" t="s">
        <v>86</v>
      </c>
      <c r="E110" s="290" t="s">
        <v>20</v>
      </c>
      <c r="F110" s="294"/>
      <c r="G110" s="276"/>
      <c r="H110" s="276" t="s">
        <v>68</v>
      </c>
      <c r="I110" s="8"/>
      <c r="M110" s="163"/>
      <c r="Y110" s="8"/>
    </row>
    <row r="111" spans="1:34">
      <c r="A111" s="276"/>
      <c r="B111" s="289" t="str">
        <f>A18</f>
        <v>ECNGAGTBPD6N</v>
      </c>
      <c r="C111" s="289" t="s">
        <v>121</v>
      </c>
      <c r="D111" s="290" t="s">
        <v>86</v>
      </c>
      <c r="E111" s="290" t="s">
        <v>20</v>
      </c>
      <c r="F111" s="294"/>
      <c r="G111" s="276"/>
      <c r="H111" s="276" t="s">
        <v>68</v>
      </c>
      <c r="I111" s="8"/>
      <c r="M111" s="163"/>
      <c r="Y111" s="8"/>
    </row>
    <row r="112" spans="1:34">
      <c r="A112" s="276"/>
      <c r="B112" s="289" t="str">
        <f>A22</f>
        <v>ECNGAGTBPD7N</v>
      </c>
      <c r="C112" s="289" t="s">
        <v>122</v>
      </c>
      <c r="D112" s="290" t="s">
        <v>86</v>
      </c>
      <c r="E112" s="290" t="s">
        <v>20</v>
      </c>
      <c r="F112" s="294"/>
      <c r="G112" s="276"/>
      <c r="H112" s="276" t="s">
        <v>68</v>
      </c>
      <c r="M112" s="163"/>
      <c r="Y112" s="8"/>
    </row>
    <row r="113" spans="1:25">
      <c r="A113" s="276"/>
      <c r="B113" s="289" t="str">
        <f>A26</f>
        <v>ECNGAGTEXD5N</v>
      </c>
      <c r="C113" s="289" t="s">
        <v>123</v>
      </c>
      <c r="D113" s="290" t="s">
        <v>86</v>
      </c>
      <c r="E113" s="290" t="s">
        <v>20</v>
      </c>
      <c r="F113" s="294"/>
      <c r="G113" s="276"/>
      <c r="H113" s="276" t="s">
        <v>68</v>
      </c>
      <c r="M113" s="163"/>
      <c r="Y113" s="8"/>
    </row>
    <row r="114" spans="1:25">
      <c r="A114" s="276"/>
      <c r="B114" s="289" t="str">
        <f>A30</f>
        <v>ECNGACCYBPD5N</v>
      </c>
      <c r="C114" s="289" t="s">
        <v>299</v>
      </c>
      <c r="D114" s="290" t="s">
        <v>86</v>
      </c>
      <c r="E114" s="290" t="s">
        <v>20</v>
      </c>
      <c r="F114" s="294"/>
      <c r="G114" s="276"/>
      <c r="H114" s="276" t="s">
        <v>68</v>
      </c>
      <c r="M114" s="163"/>
      <c r="Y114" s="8"/>
    </row>
    <row r="115" spans="1:25">
      <c r="A115" s="276"/>
      <c r="B115" s="289" t="str">
        <f>A34</f>
        <v>ECNGAGEBPD5N</v>
      </c>
      <c r="C115" s="289" t="s">
        <v>124</v>
      </c>
      <c r="D115" s="290" t="s">
        <v>86</v>
      </c>
      <c r="E115" s="290" t="s">
        <v>20</v>
      </c>
      <c r="F115" s="294"/>
      <c r="G115" s="276"/>
      <c r="H115" s="276" t="s">
        <v>68</v>
      </c>
      <c r="M115" s="163"/>
      <c r="Y115" s="8"/>
    </row>
    <row r="116" spans="1:25">
      <c r="A116" s="276"/>
      <c r="B116" s="289" t="str">
        <f>A38</f>
        <v>ECWSTGEEXD5N</v>
      </c>
      <c r="C116" s="289" t="s">
        <v>125</v>
      </c>
      <c r="D116" s="290" t="s">
        <v>86</v>
      </c>
      <c r="E116" s="290" t="s">
        <v>20</v>
      </c>
      <c r="F116" s="294"/>
      <c r="G116" s="276"/>
      <c r="H116" s="276" t="s">
        <v>68</v>
      </c>
      <c r="M116" s="163"/>
      <c r="Y116" s="8"/>
    </row>
    <row r="117" spans="1:25">
      <c r="A117" s="276"/>
      <c r="B117" s="289" t="str">
        <f>A42</f>
        <v>ECCPWSTBPD5N</v>
      </c>
      <c r="C117" s="289" t="s">
        <v>126</v>
      </c>
      <c r="D117" s="290" t="s">
        <v>86</v>
      </c>
      <c r="E117" s="290" t="s">
        <v>20</v>
      </c>
      <c r="F117" s="294"/>
      <c r="G117" s="276"/>
      <c r="H117" s="276" t="s">
        <v>68</v>
      </c>
      <c r="M117" s="163"/>
      <c r="Y117" s="8"/>
    </row>
    <row r="118" spans="1:25">
      <c r="A118" s="276"/>
      <c r="B118" s="289" t="str">
        <f>A46</f>
        <v>ECCPWSTBPD6N</v>
      </c>
      <c r="C118" s="289" t="s">
        <v>127</v>
      </c>
      <c r="D118" s="290" t="s">
        <v>86</v>
      </c>
      <c r="E118" s="290" t="s">
        <v>20</v>
      </c>
      <c r="F118" s="294"/>
      <c r="G118" s="276"/>
      <c r="H118" s="276" t="s">
        <v>68</v>
      </c>
      <c r="M118" s="163"/>
      <c r="Y118" s="8"/>
    </row>
    <row r="119" spans="1:25">
      <c r="A119" s="276"/>
      <c r="B119" s="289" t="str">
        <f>A50</f>
        <v>ECSTRSTBPD5N</v>
      </c>
      <c r="C119" s="289" t="s">
        <v>128</v>
      </c>
      <c r="D119" s="290" t="s">
        <v>86</v>
      </c>
      <c r="E119" s="290" t="s">
        <v>20</v>
      </c>
      <c r="F119" s="294"/>
      <c r="G119" s="276"/>
      <c r="H119" s="276" t="s">
        <v>68</v>
      </c>
      <c r="M119" s="163"/>
      <c r="Y119" s="8"/>
    </row>
    <row r="120" spans="1:25">
      <c r="A120" s="276"/>
      <c r="B120" s="289" t="str">
        <f>A54</f>
        <v>ECSTRSTBPD6N</v>
      </c>
      <c r="C120" s="289" t="s">
        <v>129</v>
      </c>
      <c r="D120" s="290" t="s">
        <v>86</v>
      </c>
      <c r="E120" s="290" t="s">
        <v>20</v>
      </c>
      <c r="F120" s="294"/>
      <c r="G120" s="276"/>
      <c r="H120" s="276" t="s">
        <v>68</v>
      </c>
      <c r="M120" s="163"/>
      <c r="Y120" s="8"/>
    </row>
    <row r="121" spans="1:25">
      <c r="A121" s="276" t="s">
        <v>67</v>
      </c>
      <c r="B121" s="289" t="str">
        <f>A58</f>
        <v>EHELCAMBHPD5N</v>
      </c>
      <c r="C121" s="289" t="s">
        <v>130</v>
      </c>
      <c r="D121" s="290" t="s">
        <v>86</v>
      </c>
      <c r="E121" s="290" t="s">
        <v>20</v>
      </c>
      <c r="F121" s="294" t="s">
        <v>394</v>
      </c>
      <c r="G121" s="276"/>
      <c r="H121" s="276" t="s">
        <v>68</v>
      </c>
      <c r="M121" s="164">
        <f>76/176</f>
        <v>0.43181818181818182</v>
      </c>
      <c r="Y121" s="8"/>
    </row>
    <row r="122" spans="1:25">
      <c r="A122" s="276"/>
      <c r="B122" s="289" t="str">
        <f>A66</f>
        <v>EHELCEBD5N</v>
      </c>
      <c r="C122" s="289" t="s">
        <v>218</v>
      </c>
      <c r="D122" s="290" t="s">
        <v>86</v>
      </c>
      <c r="E122" s="290" t="s">
        <v>20</v>
      </c>
      <c r="F122" s="294" t="s">
        <v>394</v>
      </c>
      <c r="G122" s="276"/>
      <c r="H122" s="276" t="s">
        <v>68</v>
      </c>
      <c r="M122" s="164">
        <f t="shared" ref="M122:M133" si="0">76/176</f>
        <v>0.43181818181818182</v>
      </c>
      <c r="Y122" s="8"/>
    </row>
    <row r="123" spans="1:25">
      <c r="A123" s="276"/>
      <c r="B123" s="289" t="str">
        <f>A70</f>
        <v>EHCPWBOD6N</v>
      </c>
      <c r="C123" s="289" t="s">
        <v>132</v>
      </c>
      <c r="D123" s="290" t="s">
        <v>86</v>
      </c>
      <c r="E123" s="290" t="s">
        <v>20</v>
      </c>
      <c r="F123" s="294" t="s">
        <v>394</v>
      </c>
      <c r="G123" s="276"/>
      <c r="H123" s="276" t="s">
        <v>68</v>
      </c>
      <c r="M123" s="164">
        <f>108/208</f>
        <v>0.51923076923076927</v>
      </c>
      <c r="Y123" s="8"/>
    </row>
    <row r="124" spans="1:25">
      <c r="A124" s="276"/>
      <c r="B124" s="289" t="str">
        <f>A74</f>
        <v>EHSTRBOD5N</v>
      </c>
      <c r="C124" s="289" t="s">
        <v>133</v>
      </c>
      <c r="D124" s="290" t="s">
        <v>86</v>
      </c>
      <c r="E124" s="290" t="s">
        <v>20</v>
      </c>
      <c r="F124" s="294" t="s">
        <v>394</v>
      </c>
      <c r="G124" s="276"/>
      <c r="H124" s="276" t="s">
        <v>68</v>
      </c>
      <c r="M124" s="164">
        <f t="shared" ref="M124:M126" si="1">108/208</f>
        <v>0.51923076923076927</v>
      </c>
      <c r="Y124" s="8"/>
    </row>
    <row r="125" spans="1:25">
      <c r="A125" s="276"/>
      <c r="B125" s="289" t="str">
        <f>A82</f>
        <v>EHNGABOD5N</v>
      </c>
      <c r="C125" s="289" t="s">
        <v>134</v>
      </c>
      <c r="D125" s="290" t="s">
        <v>86</v>
      </c>
      <c r="E125" s="290" t="s">
        <v>20</v>
      </c>
      <c r="F125" s="294" t="s">
        <v>394</v>
      </c>
      <c r="G125" s="276"/>
      <c r="H125" s="276" t="s">
        <v>68</v>
      </c>
      <c r="M125" s="164">
        <f t="shared" si="1"/>
        <v>0.51923076923076927</v>
      </c>
      <c r="Y125" s="8"/>
    </row>
    <row r="126" spans="1:25">
      <c r="A126" s="276"/>
      <c r="B126" s="289" t="str">
        <f>A86</f>
        <v>EHGEOAHD5N</v>
      </c>
      <c r="C126" s="289" t="s">
        <v>135</v>
      </c>
      <c r="D126" s="290" t="s">
        <v>86</v>
      </c>
      <c r="E126" s="290" t="s">
        <v>20</v>
      </c>
      <c r="F126" s="294" t="s">
        <v>394</v>
      </c>
      <c r="G126" s="276"/>
      <c r="H126" s="276" t="s">
        <v>68</v>
      </c>
      <c r="M126" s="164">
        <f t="shared" si="1"/>
        <v>0.51923076923076927</v>
      </c>
      <c r="Y126" s="8"/>
    </row>
    <row r="127" spans="1:25">
      <c r="A127" s="276"/>
      <c r="B127" s="289" t="str">
        <f>A90</f>
        <v>EHGEOAHD6N</v>
      </c>
      <c r="C127" s="289" t="s">
        <v>136</v>
      </c>
      <c r="D127" s="290" t="s">
        <v>86</v>
      </c>
      <c r="E127" s="290" t="s">
        <v>20</v>
      </c>
      <c r="F127" s="294" t="s">
        <v>394</v>
      </c>
      <c r="G127" s="276"/>
      <c r="H127" s="276" t="s">
        <v>68</v>
      </c>
      <c r="M127" s="164"/>
      <c r="Y127" s="8"/>
    </row>
    <row r="128" spans="1:25">
      <c r="A128" s="276"/>
      <c r="B128" t="str">
        <f>A94</f>
        <v>EHGEOAHD7N</v>
      </c>
      <c r="C128" t="str">
        <f>B94</f>
        <v>45  Geothermal District Heating - Electric Heat Pump - 70 C decentralised</v>
      </c>
      <c r="D128" s="290" t="s">
        <v>86</v>
      </c>
      <c r="E128" s="290" t="s">
        <v>20</v>
      </c>
      <c r="F128" s="294" t="s">
        <v>394</v>
      </c>
      <c r="G128" s="276"/>
      <c r="H128" s="276" t="s">
        <v>68</v>
      </c>
      <c r="M128" s="163"/>
      <c r="Y128" s="8"/>
    </row>
    <row r="129" spans="1:33">
      <c r="A129" s="276"/>
      <c r="B129" s="289" t="str">
        <f>A98</f>
        <v>EHSOLDHD5N</v>
      </c>
      <c r="C129" s="289" t="s">
        <v>178</v>
      </c>
      <c r="D129" s="290" t="s">
        <v>86</v>
      </c>
      <c r="E129" s="290" t="s">
        <v>20</v>
      </c>
      <c r="F129" s="294" t="s">
        <v>394</v>
      </c>
      <c r="G129" s="276"/>
      <c r="H129" s="276" t="s">
        <v>68</v>
      </c>
      <c r="I129" s="8"/>
      <c r="M129" s="163"/>
      <c r="Y129" s="8"/>
      <c r="AG129"/>
    </row>
    <row r="130" spans="1:33">
      <c r="B130" s="289" t="str">
        <f>A102</f>
        <v>EHWSTDHD5N</v>
      </c>
      <c r="C130" s="289" t="s">
        <v>408</v>
      </c>
      <c r="D130" s="290" t="s">
        <v>86</v>
      </c>
      <c r="E130" s="290" t="s">
        <v>20</v>
      </c>
      <c r="F130" s="294" t="s">
        <v>394</v>
      </c>
      <c r="G130" s="276"/>
      <c r="H130" s="276" t="s">
        <v>68</v>
      </c>
      <c r="I130" s="8"/>
      <c r="M130" s="163"/>
      <c r="Y130" s="8"/>
      <c r="AG130"/>
    </row>
    <row r="131" spans="1:33">
      <c r="B131" s="12"/>
      <c r="C131" s="12"/>
      <c r="D131" s="11"/>
      <c r="E131" s="11"/>
      <c r="F131" s="149"/>
      <c r="G131" s="8"/>
      <c r="H131" s="8"/>
      <c r="I131" s="8"/>
      <c r="M131" s="163"/>
      <c r="Y131" s="8"/>
      <c r="AG131"/>
    </row>
    <row r="132" spans="1:33">
      <c r="B132" s="8"/>
      <c r="C132" s="8"/>
      <c r="D132" s="8"/>
      <c r="E132" s="8"/>
      <c r="F132" s="8"/>
      <c r="G132" s="8"/>
      <c r="H132" s="8"/>
      <c r="M132" s="163"/>
      <c r="Y132" s="8"/>
      <c r="AG132"/>
    </row>
    <row r="133" spans="1:33">
      <c r="B133" s="12" t="str">
        <f>A62</f>
        <v>*EHELCHPD7N</v>
      </c>
      <c r="C133" s="12" t="s">
        <v>131</v>
      </c>
      <c r="D133" s="11" t="s">
        <v>86</v>
      </c>
      <c r="E133" s="11" t="s">
        <v>20</v>
      </c>
      <c r="F133" s="7"/>
      <c r="H133" t="s">
        <v>68</v>
      </c>
      <c r="M133" s="164">
        <f t="shared" si="0"/>
        <v>0.43181818181818182</v>
      </c>
      <c r="Y133" s="8"/>
      <c r="AG133"/>
    </row>
    <row r="134" spans="1:33">
      <c r="M134" s="163"/>
      <c r="Y134" s="8"/>
      <c r="AG134"/>
    </row>
    <row r="135" spans="1:33">
      <c r="Y135" s="8"/>
      <c r="AG135"/>
    </row>
    <row r="136" spans="1:33">
      <c r="Y136" s="8"/>
      <c r="AG136"/>
    </row>
  </sheetData>
  <pageMargins left="0.7" right="0.7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AH167"/>
  <sheetViews>
    <sheetView workbookViewId="0">
      <selection activeCell="E12" sqref="E12"/>
    </sheetView>
  </sheetViews>
  <sheetFormatPr defaultColWidth="9.109375" defaultRowHeight="14.4"/>
  <cols>
    <col min="1" max="1" width="17" style="23" customWidth="1"/>
    <col min="2" max="2" width="54.88671875" style="23" customWidth="1"/>
    <col min="3" max="3" width="10.88671875" style="23" customWidth="1"/>
    <col min="4" max="4" width="9.6640625" style="23" customWidth="1"/>
    <col min="5" max="6" width="10.6640625" style="23" customWidth="1"/>
    <col min="7" max="7" width="11.109375" style="23" bestFit="1" customWidth="1"/>
    <col min="8" max="8" width="9" style="23" bestFit="1" customWidth="1"/>
    <col min="9" max="9" width="9.88671875" style="23" bestFit="1" customWidth="1"/>
    <col min="10" max="10" width="11.109375" style="23" bestFit="1" customWidth="1"/>
    <col min="11" max="11" width="10.44140625" style="23" bestFit="1" customWidth="1"/>
    <col min="12" max="12" width="7.88671875" style="23" customWidth="1"/>
    <col min="13" max="13" width="9.44140625" style="23" customWidth="1"/>
    <col min="14" max="14" width="12" style="23" customWidth="1"/>
    <col min="15" max="15" width="29.33203125" style="23" bestFit="1" customWidth="1"/>
    <col min="16" max="22" width="10.6640625" style="23" customWidth="1"/>
    <col min="23" max="23" width="5.6640625" style="46" customWidth="1"/>
    <col min="24" max="24" width="14.109375" style="46" customWidth="1"/>
    <col min="25" max="25" width="10.6640625" style="302" customWidth="1"/>
    <col min="26" max="26" width="12.88671875" style="46" customWidth="1"/>
    <col min="27" max="29" width="9.109375" style="46" customWidth="1"/>
    <col min="30" max="30" width="10.6640625" style="302" customWidth="1"/>
    <col min="31" max="31" width="12.88671875" style="46" customWidth="1"/>
    <col min="32" max="32" width="10.33203125" style="46" customWidth="1"/>
    <col min="33" max="33" width="20.6640625" style="46" customWidth="1"/>
    <col min="34" max="36" width="9.109375" style="46" customWidth="1"/>
    <col min="37" max="39" width="10.109375" style="46" bestFit="1" customWidth="1"/>
    <col min="40" max="40" width="10.109375" style="46" customWidth="1"/>
    <col min="41" max="44" width="12.44140625" style="46" customWidth="1"/>
    <col min="45" max="16384" width="9.109375" style="46"/>
  </cols>
  <sheetData>
    <row r="1" spans="1:34">
      <c r="A1" s="42" t="s">
        <v>107</v>
      </c>
      <c r="B1" s="44"/>
      <c r="D1" s="35" t="s">
        <v>306</v>
      </c>
      <c r="E1" s="45"/>
    </row>
    <row r="2" spans="1:34">
      <c r="A2" s="48" t="s">
        <v>100</v>
      </c>
      <c r="B2" s="49" t="s">
        <v>101</v>
      </c>
      <c r="D2" s="50" t="s">
        <v>204</v>
      </c>
      <c r="E2" s="51">
        <v>7.45</v>
      </c>
    </row>
    <row r="3" spans="1:34">
      <c r="A3" s="48" t="s">
        <v>102</v>
      </c>
      <c r="B3" s="49" t="s">
        <v>103</v>
      </c>
    </row>
    <row r="4" spans="1:34">
      <c r="A4" s="48" t="s">
        <v>105</v>
      </c>
      <c r="B4" s="49" t="s">
        <v>106</v>
      </c>
      <c r="D4" s="35" t="s">
        <v>305</v>
      </c>
      <c r="E4" s="52"/>
      <c r="F4" s="45"/>
    </row>
    <row r="5" spans="1:34">
      <c r="A5" s="48" t="s">
        <v>108</v>
      </c>
      <c r="B5" s="49" t="s">
        <v>109</v>
      </c>
      <c r="D5" s="36" t="s">
        <v>214</v>
      </c>
      <c r="E5" s="53"/>
      <c r="F5" s="54"/>
    </row>
    <row r="6" spans="1:34">
      <c r="A6" s="48" t="s">
        <v>110</v>
      </c>
      <c r="B6" s="49" t="s">
        <v>111</v>
      </c>
      <c r="D6" s="37" t="s">
        <v>215</v>
      </c>
      <c r="E6" s="55"/>
      <c r="F6" s="51"/>
    </row>
    <row r="7" spans="1:34">
      <c r="A7" s="48" t="s">
        <v>113</v>
      </c>
      <c r="B7" s="49" t="s">
        <v>114</v>
      </c>
    </row>
    <row r="8" spans="1:34">
      <c r="A8" s="48" t="s">
        <v>115</v>
      </c>
      <c r="B8" s="49" t="s">
        <v>116</v>
      </c>
      <c r="R8" s="46"/>
      <c r="S8" s="46"/>
      <c r="T8" s="302"/>
      <c r="U8" s="46"/>
      <c r="V8" s="46"/>
      <c r="AD8" s="46"/>
    </row>
    <row r="9" spans="1:34">
      <c r="A9" s="56" t="s">
        <v>118</v>
      </c>
      <c r="B9" s="57" t="s">
        <v>119</v>
      </c>
      <c r="P9" s="46"/>
      <c r="Q9" s="302"/>
      <c r="R9" s="302"/>
      <c r="S9" s="302"/>
      <c r="T9" s="46"/>
      <c r="U9" s="46"/>
      <c r="V9" s="46"/>
      <c r="Y9" s="46"/>
      <c r="AC9" s="168" t="s">
        <v>335</v>
      </c>
      <c r="AD9" s="168"/>
      <c r="AE9" s="168"/>
      <c r="AF9" s="168"/>
      <c r="AG9" s="168"/>
      <c r="AH9" s="168"/>
    </row>
    <row r="10" spans="1:34">
      <c r="A10" s="145"/>
      <c r="B10" s="145"/>
      <c r="O10" s="46"/>
      <c r="P10" s="46"/>
      <c r="Q10" s="46"/>
      <c r="R10" s="46"/>
      <c r="S10" s="302"/>
      <c r="T10" s="302"/>
      <c r="U10" s="46"/>
      <c r="V10" s="46"/>
      <c r="X10" s="46" t="s">
        <v>336</v>
      </c>
      <c r="Y10" s="168"/>
      <c r="Z10" s="168"/>
      <c r="AA10" s="170">
        <v>0.04</v>
      </c>
      <c r="AB10" s="168"/>
      <c r="AC10" s="168"/>
      <c r="AD10" s="46"/>
    </row>
    <row r="11" spans="1:34">
      <c r="E11" s="64" t="s">
        <v>0</v>
      </c>
      <c r="O11" s="46"/>
      <c r="P11" s="46"/>
      <c r="Q11" s="46"/>
      <c r="R11" s="46"/>
      <c r="S11" s="302"/>
      <c r="T11" s="302"/>
      <c r="U11" s="46"/>
      <c r="V11" s="46"/>
      <c r="Y11" s="46"/>
      <c r="AD11" s="46"/>
    </row>
    <row r="12" spans="1:34">
      <c r="E12" s="64"/>
      <c r="O12" s="46"/>
      <c r="P12" s="46"/>
      <c r="Q12" s="46"/>
      <c r="R12" s="46"/>
      <c r="S12" s="302"/>
      <c r="T12" s="302"/>
      <c r="U12" s="46"/>
      <c r="V12" s="46"/>
      <c r="Y12" s="46"/>
      <c r="AD12" s="46"/>
    </row>
    <row r="13" spans="1:34" ht="27.75" customHeight="1">
      <c r="A13" s="65" t="s">
        <v>1</v>
      </c>
      <c r="B13" s="65" t="s">
        <v>2</v>
      </c>
      <c r="C13" s="65" t="s">
        <v>3</v>
      </c>
      <c r="D13" s="66" t="s">
        <v>4</v>
      </c>
      <c r="E13" s="65" t="s">
        <v>5</v>
      </c>
      <c r="F13" s="65" t="s">
        <v>6</v>
      </c>
      <c r="G13" s="65" t="s">
        <v>8</v>
      </c>
      <c r="H13" s="65" t="s">
        <v>11</v>
      </c>
      <c r="I13" s="65" t="s">
        <v>12</v>
      </c>
      <c r="J13" s="65" t="s">
        <v>13</v>
      </c>
      <c r="K13" s="65" t="s">
        <v>14</v>
      </c>
      <c r="L13" s="65" t="s">
        <v>15</v>
      </c>
      <c r="M13" s="65" t="s">
        <v>16</v>
      </c>
      <c r="N13" s="65" t="s">
        <v>28</v>
      </c>
      <c r="O13" s="46"/>
      <c r="P13" s="65" t="s">
        <v>17</v>
      </c>
      <c r="Q13" s="46"/>
      <c r="R13" s="46"/>
      <c r="S13" s="302"/>
      <c r="T13" s="302"/>
      <c r="U13" s="302"/>
      <c r="V13" s="46"/>
      <c r="X13" s="167" t="s">
        <v>382</v>
      </c>
      <c r="Y13" s="167" t="s">
        <v>338</v>
      </c>
      <c r="Z13" s="167" t="s">
        <v>383</v>
      </c>
      <c r="AA13" s="167" t="s">
        <v>340</v>
      </c>
      <c r="AB13" s="167" t="s">
        <v>341</v>
      </c>
      <c r="AC13" s="167" t="s">
        <v>373</v>
      </c>
      <c r="AD13" s="167" t="s">
        <v>376</v>
      </c>
      <c r="AE13" s="167" t="s">
        <v>374</v>
      </c>
      <c r="AF13" s="167" t="s">
        <v>385</v>
      </c>
      <c r="AG13" s="167" t="s">
        <v>379</v>
      </c>
      <c r="AH13" s="167" t="s">
        <v>384</v>
      </c>
    </row>
    <row r="14" spans="1:34" s="58" customFormat="1" ht="144" hidden="1">
      <c r="A14" s="68" t="s">
        <v>18</v>
      </c>
      <c r="B14" s="68"/>
      <c r="C14" s="68" t="s">
        <v>197</v>
      </c>
      <c r="D14" s="69" t="s">
        <v>198</v>
      </c>
      <c r="E14" s="68"/>
      <c r="F14" s="68" t="s">
        <v>194</v>
      </c>
      <c r="G14" s="68" t="s">
        <v>175</v>
      </c>
      <c r="H14" s="68" t="s">
        <v>190</v>
      </c>
      <c r="I14" s="68" t="s">
        <v>191</v>
      </c>
      <c r="J14" s="68" t="s">
        <v>192</v>
      </c>
      <c r="K14" s="68" t="s">
        <v>184</v>
      </c>
      <c r="L14" s="68" t="s">
        <v>186</v>
      </c>
      <c r="M14" s="68" t="s">
        <v>185</v>
      </c>
      <c r="N14" s="68" t="s">
        <v>188</v>
      </c>
      <c r="P14" s="68" t="s">
        <v>187</v>
      </c>
      <c r="S14" s="59"/>
      <c r="T14" s="59"/>
      <c r="U14" s="59"/>
    </row>
    <row r="15" spans="1:34" s="329" customFormat="1" ht="15.75" customHeight="1" thickBot="1">
      <c r="A15" s="326" t="s">
        <v>19</v>
      </c>
      <c r="B15" s="327"/>
      <c r="C15" s="327"/>
      <c r="D15" s="328"/>
      <c r="E15" s="327"/>
      <c r="F15" s="327"/>
      <c r="G15" s="327"/>
      <c r="H15" s="327" t="s">
        <v>21</v>
      </c>
      <c r="I15" s="327" t="s">
        <v>21</v>
      </c>
      <c r="J15" s="327" t="s">
        <v>22</v>
      </c>
      <c r="K15" s="327" t="s">
        <v>23</v>
      </c>
      <c r="L15" s="327" t="s">
        <v>23</v>
      </c>
      <c r="M15" s="327"/>
      <c r="N15" s="327" t="s">
        <v>24</v>
      </c>
      <c r="P15" s="327" t="s">
        <v>24</v>
      </c>
      <c r="S15" s="327" t="s">
        <v>213</v>
      </c>
      <c r="T15" s="327" t="s">
        <v>212</v>
      </c>
      <c r="U15" s="327" t="s">
        <v>211</v>
      </c>
      <c r="X15" s="330" t="s">
        <v>337</v>
      </c>
      <c r="Y15" s="331" t="s">
        <v>339</v>
      </c>
      <c r="Z15" s="331" t="s">
        <v>342</v>
      </c>
      <c r="AA15" s="331" t="s">
        <v>342</v>
      </c>
      <c r="AB15" s="331" t="s">
        <v>342</v>
      </c>
      <c r="AC15" s="331" t="s">
        <v>375</v>
      </c>
      <c r="AD15" s="331" t="s">
        <v>502</v>
      </c>
      <c r="AE15" s="331" t="s">
        <v>371</v>
      </c>
      <c r="AF15" s="331" t="s">
        <v>503</v>
      </c>
      <c r="AG15" s="331" t="s">
        <v>502</v>
      </c>
      <c r="AH15" s="331" t="s">
        <v>504</v>
      </c>
    </row>
    <row r="16" spans="1:34">
      <c r="A16" s="376" t="s">
        <v>505</v>
      </c>
      <c r="B16" s="83" t="str">
        <f>ELC_CEN!B27</f>
        <v>04  Gas Turbine Single Cycle - Large Scale Plant centralised</v>
      </c>
      <c r="C16" s="303" t="s">
        <v>507</v>
      </c>
      <c r="D16" s="75" t="s">
        <v>26</v>
      </c>
      <c r="E16" s="303">
        <v>2015</v>
      </c>
      <c r="F16" s="303">
        <v>2015</v>
      </c>
      <c r="G16" s="156">
        <f>ELC_CEN!K27</f>
        <v>0.41</v>
      </c>
      <c r="H16" s="84">
        <f>ELC_CEN!T27</f>
        <v>4.47</v>
      </c>
      <c r="I16" s="84">
        <f>ELC_CEN!U27</f>
        <v>0.14899999999999999</v>
      </c>
      <c r="J16" s="84">
        <f>ELC_CEN!V27</f>
        <v>9.3125</v>
      </c>
      <c r="K16" s="396">
        <f>ELC_CEN!W27</f>
        <v>3.1536000000000002E-2</v>
      </c>
      <c r="L16" s="156">
        <f>ELC_CEN!X27</f>
        <v>0.9</v>
      </c>
      <c r="M16" s="396">
        <f>ELC_CEN!Y27</f>
        <v>1</v>
      </c>
      <c r="N16" s="403">
        <f>ELC_CEN!Z27</f>
        <v>25</v>
      </c>
      <c r="O16" s="46"/>
      <c r="P16" s="84">
        <f>ELC_CEN!AF27</f>
        <v>1.5</v>
      </c>
      <c r="Q16" s="46"/>
      <c r="R16" s="46"/>
      <c r="S16" s="405" t="str">
        <f>ELC_CEN!AJ27</f>
        <v>Tekkat2016</v>
      </c>
      <c r="T16" s="404">
        <f>ELC_CEN!AK27</f>
        <v>42817</v>
      </c>
      <c r="U16" s="405" t="str">
        <f>ELC_CEN!AL27</f>
        <v>ASHEG12</v>
      </c>
      <c r="V16" s="46"/>
      <c r="X16" s="169">
        <f>-PMT($AA$10,N16,H16)</f>
        <v>0.28613347365545205</v>
      </c>
      <c r="Y16" s="157">
        <v>5000</v>
      </c>
      <c r="Z16" s="171">
        <f t="shared" ref="Z16:Z23" si="0">X16/Y16*(1000000)</f>
        <v>57.226694731090411</v>
      </c>
      <c r="AA16" s="171">
        <f t="shared" ref="AA16:AA23" si="1">I16/Y16*(1000000)</f>
        <v>29.8</v>
      </c>
      <c r="AB16" s="171">
        <f t="shared" ref="AB16:AB23" si="2">J16*1000*3.6/1000</f>
        <v>33.524999999999999</v>
      </c>
      <c r="AC16" s="171">
        <v>221.34021024122904</v>
      </c>
      <c r="AD16" s="171">
        <f t="shared" ref="AD16:AD23" si="3">1/G16</f>
        <v>2.4390243902439024</v>
      </c>
      <c r="AE16" s="255">
        <v>2</v>
      </c>
      <c r="AF16" s="171" t="e">
        <f>IF(#REF!=0,0,(#REF!-G16)/AE16)</f>
        <v>#REF!</v>
      </c>
      <c r="AG16" s="171">
        <f>AD16*AC16</f>
        <v>539.8541713200708</v>
      </c>
      <c r="AH16" s="258">
        <f>Z16+AA16+AB16+AG16</f>
        <v>660.40586605116118</v>
      </c>
    </row>
    <row r="17" spans="1:34">
      <c r="A17" s="372"/>
      <c r="B17" s="303"/>
      <c r="C17" s="303"/>
      <c r="D17" s="75"/>
      <c r="E17" s="303">
        <v>2020</v>
      </c>
      <c r="F17" s="303"/>
      <c r="G17" s="156">
        <f>ELC_CEN!K28</f>
        <v>0.42</v>
      </c>
      <c r="H17" s="84">
        <f>ELC_CEN!T28</f>
        <v>4.3955000000000002</v>
      </c>
      <c r="I17" s="84">
        <f>ELC_CEN!U28</f>
        <v>0.14527499999999999</v>
      </c>
      <c r="J17" s="84">
        <f>ELC_CEN!V28</f>
        <v>9.1055555555555561</v>
      </c>
      <c r="K17" s="78"/>
      <c r="L17" s="78"/>
      <c r="M17" s="78"/>
      <c r="N17" s="81"/>
      <c r="O17" s="46"/>
      <c r="P17" s="306"/>
      <c r="Q17" s="46"/>
      <c r="R17" s="46"/>
      <c r="S17" s="405" t="str">
        <f>ELC_CEN!AJ28</f>
        <v>Tekkat2016</v>
      </c>
      <c r="T17" s="404">
        <f>ELC_CEN!AK28</f>
        <v>42817</v>
      </c>
      <c r="U17" s="405" t="str">
        <f>ELC_CEN!AL28</f>
        <v>ASHEG12</v>
      </c>
      <c r="V17" s="46"/>
      <c r="X17" s="169">
        <f>-PMT($AA$10,N16,H17)</f>
        <v>0.28136458242786122</v>
      </c>
      <c r="Y17" s="46">
        <f t="shared" ref="Y17:Y23" si="4">Y16</f>
        <v>5000</v>
      </c>
      <c r="Z17" s="171">
        <f t="shared" si="0"/>
        <v>56.272916485572246</v>
      </c>
      <c r="AA17" s="171">
        <f t="shared" si="1"/>
        <v>29.055</v>
      </c>
      <c r="AB17" s="171">
        <f t="shared" si="2"/>
        <v>32.780000000000008</v>
      </c>
      <c r="AC17" s="171">
        <v>231.10358014079085</v>
      </c>
      <c r="AD17" s="171">
        <f t="shared" si="3"/>
        <v>2.3809523809523809</v>
      </c>
      <c r="AE17" s="255">
        <v>2</v>
      </c>
      <c r="AF17" s="171" t="e">
        <f>IF(#REF!=0,0,(#REF!-G17)/AE17)</f>
        <v>#REF!</v>
      </c>
      <c r="AG17" s="171">
        <f t="shared" ref="AG17:AG23" si="5">AD17*AC17</f>
        <v>550.24661938283532</v>
      </c>
      <c r="AH17" s="258">
        <f t="shared" ref="AH17:AH23" si="6">Z17+AA17+AB17+AG17</f>
        <v>668.35453586840754</v>
      </c>
    </row>
    <row r="18" spans="1:34">
      <c r="A18" s="116"/>
      <c r="B18" s="303"/>
      <c r="C18" s="303"/>
      <c r="D18" s="75"/>
      <c r="E18" s="303">
        <v>2030</v>
      </c>
      <c r="F18" s="303"/>
      <c r="G18" s="156">
        <f>ELC_CEN!K29</f>
        <v>0.43</v>
      </c>
      <c r="H18" s="84">
        <f>ELC_CEN!T29</f>
        <v>4.1720000000000006</v>
      </c>
      <c r="I18" s="84">
        <f>ELC_CEN!U29</f>
        <v>0.13857</v>
      </c>
      <c r="J18" s="84">
        <f>ELC_CEN!V29</f>
        <v>8.6916666666666664</v>
      </c>
      <c r="K18" s="78"/>
      <c r="L18" s="78"/>
      <c r="M18" s="78"/>
      <c r="N18" s="81"/>
      <c r="O18" s="46"/>
      <c r="P18" s="306"/>
      <c r="Q18" s="46"/>
      <c r="R18" s="46"/>
      <c r="S18" s="405" t="str">
        <f>ELC_CEN!AJ29</f>
        <v>Tekkat2016</v>
      </c>
      <c r="T18" s="404">
        <f>ELC_CEN!AK29</f>
        <v>42817</v>
      </c>
      <c r="U18" s="405" t="str">
        <f>ELC_CEN!AL29</f>
        <v>ASHEG12</v>
      </c>
      <c r="V18" s="46"/>
      <c r="X18" s="169">
        <f>-PMT($AA$10,N16,H18)</f>
        <v>0.26705790874508867</v>
      </c>
      <c r="Y18" s="46">
        <f t="shared" si="4"/>
        <v>5000</v>
      </c>
      <c r="Z18" s="171">
        <f t="shared" si="0"/>
        <v>53.411581749017735</v>
      </c>
      <c r="AA18" s="171">
        <f t="shared" si="1"/>
        <v>27.713999999999999</v>
      </c>
      <c r="AB18" s="171">
        <f t="shared" si="2"/>
        <v>31.29</v>
      </c>
      <c r="AC18" s="171">
        <v>257.61173583859181</v>
      </c>
      <c r="AD18" s="171">
        <f t="shared" si="3"/>
        <v>2.3255813953488373</v>
      </c>
      <c r="AE18" s="255">
        <v>2</v>
      </c>
      <c r="AF18" s="171" t="e">
        <f>IF(#REF!=0,0,(#REF!-G18)/AE18)</f>
        <v>#REF!</v>
      </c>
      <c r="AG18" s="171">
        <f t="shared" si="5"/>
        <v>599.09706008974842</v>
      </c>
      <c r="AH18" s="258">
        <f t="shared" si="6"/>
        <v>711.51264183876617</v>
      </c>
    </row>
    <row r="19" spans="1:34">
      <c r="A19" s="303"/>
      <c r="B19" s="303"/>
      <c r="C19" s="303"/>
      <c r="D19" s="75"/>
      <c r="E19" s="303">
        <v>2050</v>
      </c>
      <c r="F19" s="303"/>
      <c r="G19" s="156">
        <f>ELC_CEN!K30</f>
        <v>0.45</v>
      </c>
      <c r="H19" s="84">
        <f>ELC_CEN!T30</f>
        <v>3.8740000000000001</v>
      </c>
      <c r="I19" s="84">
        <f>ELC_CEN!U30</f>
        <v>0.1341</v>
      </c>
      <c r="J19" s="84">
        <f>ELC_CEN!V30</f>
        <v>8.2777777777777786</v>
      </c>
      <c r="K19" s="78"/>
      <c r="L19" s="78"/>
      <c r="M19" s="78"/>
      <c r="N19" s="81"/>
      <c r="O19" s="46"/>
      <c r="P19" s="306"/>
      <c r="Q19" s="46"/>
      <c r="R19" s="46"/>
      <c r="S19" s="405" t="str">
        <f>ELC_CEN!AJ30</f>
        <v>Tekkat2016</v>
      </c>
      <c r="T19" s="404">
        <f>ELC_CEN!AK30</f>
        <v>42817</v>
      </c>
      <c r="U19" s="405" t="str">
        <f>ELC_CEN!AL30</f>
        <v>ASHEG12</v>
      </c>
      <c r="V19" s="46"/>
      <c r="X19" s="169">
        <f>-PMT($AA$10,N16,H19)</f>
        <v>0.24798234383472514</v>
      </c>
      <c r="Y19" s="46">
        <f t="shared" si="4"/>
        <v>5000</v>
      </c>
      <c r="Z19" s="171">
        <f t="shared" si="0"/>
        <v>49.59646876694503</v>
      </c>
      <c r="AA19" s="171">
        <f t="shared" si="1"/>
        <v>26.82</v>
      </c>
      <c r="AB19" s="171">
        <f t="shared" si="2"/>
        <v>29.800000000000008</v>
      </c>
      <c r="AC19" s="171">
        <v>265.76809143791507</v>
      </c>
      <c r="AD19" s="171">
        <f t="shared" si="3"/>
        <v>2.2222222222222223</v>
      </c>
      <c r="AE19" s="255">
        <v>2</v>
      </c>
      <c r="AF19" s="171" t="e">
        <f>IF(#REF!=0,0,(#REF!-G19)/AE19)</f>
        <v>#REF!</v>
      </c>
      <c r="AG19" s="171">
        <f t="shared" si="5"/>
        <v>590.59575875092241</v>
      </c>
      <c r="AH19" s="258">
        <f t="shared" si="6"/>
        <v>696.81222751786743</v>
      </c>
    </row>
    <row r="20" spans="1:34">
      <c r="A20" s="303" t="s">
        <v>508</v>
      </c>
      <c r="B20" s="83" t="str">
        <f>ELC_CEN!B31</f>
        <v>04  Gas Turbine Single Cycle - Medium Scale Plant centralised</v>
      </c>
      <c r="C20" s="303" t="s">
        <v>507</v>
      </c>
      <c r="D20" s="75" t="s">
        <v>26</v>
      </c>
      <c r="E20" s="303">
        <v>2015</v>
      </c>
      <c r="F20" s="303">
        <v>2015</v>
      </c>
      <c r="G20" s="156">
        <f>ELC_CEN!K31</f>
        <v>0.36</v>
      </c>
      <c r="H20" s="84">
        <f>ELC_CEN!T31</f>
        <v>5.5875000000000004</v>
      </c>
      <c r="I20" s="84">
        <f>ELC_CEN!U31</f>
        <v>0.14899999999999999</v>
      </c>
      <c r="J20" s="84">
        <f>ELC_CEN!V31</f>
        <v>11.381944444444445</v>
      </c>
      <c r="K20" s="396">
        <f>ELC_CEN!W31</f>
        <v>3.1536000000000002E-2</v>
      </c>
      <c r="L20" s="156">
        <f>ELC_CEN!X31</f>
        <v>0.9</v>
      </c>
      <c r="M20" s="396">
        <f>ELC_CEN!Y31</f>
        <v>1</v>
      </c>
      <c r="N20" s="403">
        <f>ELC_CEN!Z31</f>
        <v>25</v>
      </c>
      <c r="O20" s="46"/>
      <c r="P20" s="84">
        <f>ELC_CEN!AF31</f>
        <v>1.5</v>
      </c>
      <c r="Q20" s="46"/>
      <c r="R20" s="46"/>
      <c r="S20" s="405" t="str">
        <f>ELC_CEN!AJ31</f>
        <v>Tekkat2016</v>
      </c>
      <c r="T20" s="404">
        <f>ELC_CEN!AK31</f>
        <v>42817</v>
      </c>
      <c r="U20" s="405" t="str">
        <f>ELC_CEN!AL31</f>
        <v>ASHEG12</v>
      </c>
      <c r="V20" s="46"/>
      <c r="X20" s="169">
        <f>-PMT($AA$10,N20,H20)</f>
        <v>0.35766684206931515</v>
      </c>
      <c r="Y20" s="46">
        <f t="shared" si="4"/>
        <v>5000</v>
      </c>
      <c r="Z20" s="171">
        <f t="shared" si="0"/>
        <v>71.53336841386303</v>
      </c>
      <c r="AA20" s="171">
        <f t="shared" si="1"/>
        <v>29.8</v>
      </c>
      <c r="AB20" s="171">
        <f t="shared" si="2"/>
        <v>40.975000000000009</v>
      </c>
      <c r="AC20" s="171">
        <v>221.34021024122904</v>
      </c>
      <c r="AD20" s="171">
        <f t="shared" si="3"/>
        <v>2.7777777777777777</v>
      </c>
      <c r="AE20" s="255">
        <v>2</v>
      </c>
      <c r="AF20" s="171" t="e">
        <f>IF(#REF!=0,0,(#REF!-G20)/AE20)</f>
        <v>#REF!</v>
      </c>
      <c r="AG20" s="171">
        <f t="shared" si="5"/>
        <v>614.83391733674728</v>
      </c>
      <c r="AH20" s="258">
        <f t="shared" si="6"/>
        <v>757.14228575061031</v>
      </c>
    </row>
    <row r="21" spans="1:34">
      <c r="A21" s="303"/>
      <c r="B21" s="303"/>
      <c r="C21" s="303"/>
      <c r="D21" s="75"/>
      <c r="E21" s="303">
        <v>2020</v>
      </c>
      <c r="F21" s="303"/>
      <c r="G21" s="156">
        <f>ELC_CEN!K32</f>
        <v>0.37</v>
      </c>
      <c r="H21" s="84">
        <f>ELC_CEN!T32</f>
        <v>5.4385000000000003</v>
      </c>
      <c r="I21" s="84">
        <f>ELC_CEN!U32</f>
        <v>0.14527499999999999</v>
      </c>
      <c r="J21" s="84">
        <f>ELC_CEN!V32</f>
        <v>11.175000000000001</v>
      </c>
      <c r="K21" s="78"/>
      <c r="L21" s="78"/>
      <c r="M21" s="78"/>
      <c r="N21" s="81"/>
      <c r="O21" s="46"/>
      <c r="P21" s="306"/>
      <c r="Q21" s="46"/>
      <c r="R21" s="46"/>
      <c r="S21" s="405" t="str">
        <f>ELC_CEN!AJ32</f>
        <v>Tekkat2016</v>
      </c>
      <c r="T21" s="404">
        <f>ELC_CEN!AK32</f>
        <v>42817</v>
      </c>
      <c r="U21" s="405" t="str">
        <f>ELC_CEN!AL32</f>
        <v>ASHEG12</v>
      </c>
      <c r="V21" s="46"/>
      <c r="X21" s="169">
        <f>-PMT($AA$10,N20,H21)</f>
        <v>0.34812905961413337</v>
      </c>
      <c r="Y21" s="46">
        <f t="shared" si="4"/>
        <v>5000</v>
      </c>
      <c r="Z21" s="171">
        <f t="shared" si="0"/>
        <v>69.625811922826671</v>
      </c>
      <c r="AA21" s="171">
        <f t="shared" si="1"/>
        <v>29.055</v>
      </c>
      <c r="AB21" s="171">
        <f t="shared" si="2"/>
        <v>40.229999999999997</v>
      </c>
      <c r="AC21" s="171">
        <v>231.10358014079085</v>
      </c>
      <c r="AD21" s="171">
        <f t="shared" si="3"/>
        <v>2.7027027027027026</v>
      </c>
      <c r="AE21" s="255">
        <v>2</v>
      </c>
      <c r="AF21" s="171" t="e">
        <f>IF(#REF!=0,0,(#REF!-G21)/AE21)</f>
        <v>#REF!</v>
      </c>
      <c r="AG21" s="171">
        <f t="shared" si="5"/>
        <v>624.60427065078602</v>
      </c>
      <c r="AH21" s="258">
        <f t="shared" si="6"/>
        <v>763.51508257361274</v>
      </c>
    </row>
    <row r="22" spans="1:34">
      <c r="A22" s="303"/>
      <c r="B22" s="303"/>
      <c r="C22" s="303"/>
      <c r="D22" s="75"/>
      <c r="E22" s="303">
        <v>2030</v>
      </c>
      <c r="F22" s="303"/>
      <c r="G22" s="156">
        <f>ELC_CEN!K33</f>
        <v>0.39</v>
      </c>
      <c r="H22" s="84">
        <f>ELC_CEN!T33</f>
        <v>5.2149999999999999</v>
      </c>
      <c r="I22" s="84">
        <f>ELC_CEN!U33</f>
        <v>0.13857</v>
      </c>
      <c r="J22" s="84">
        <f>ELC_CEN!V33</f>
        <v>10.554166666666665</v>
      </c>
      <c r="K22" s="78"/>
      <c r="L22" s="78"/>
      <c r="M22" s="78"/>
      <c r="N22" s="81"/>
      <c r="O22" s="46"/>
      <c r="P22" s="306"/>
      <c r="Q22" s="46"/>
      <c r="R22" s="46"/>
      <c r="S22" s="405" t="str">
        <f>ELC_CEN!AJ33</f>
        <v>Tekkat2016</v>
      </c>
      <c r="T22" s="404">
        <f>ELC_CEN!AK33</f>
        <v>42817</v>
      </c>
      <c r="U22" s="405" t="str">
        <f>ELC_CEN!AL33</f>
        <v>ASHEG12</v>
      </c>
      <c r="V22" s="46"/>
      <c r="X22" s="169">
        <f>-PMT($AA$10,N20,H22)</f>
        <v>0.33382238593136071</v>
      </c>
      <c r="Y22" s="46">
        <f t="shared" si="4"/>
        <v>5000</v>
      </c>
      <c r="Z22" s="171">
        <f t="shared" si="0"/>
        <v>66.764477186272146</v>
      </c>
      <c r="AA22" s="171">
        <f t="shared" si="1"/>
        <v>27.713999999999999</v>
      </c>
      <c r="AB22" s="171">
        <f t="shared" si="2"/>
        <v>37.994999999999997</v>
      </c>
      <c r="AC22" s="171">
        <v>257.61173583859181</v>
      </c>
      <c r="AD22" s="171">
        <f t="shared" si="3"/>
        <v>2.5641025641025639</v>
      </c>
      <c r="AE22" s="255">
        <v>2</v>
      </c>
      <c r="AF22" s="171" t="e">
        <f>IF(#REF!=0,0,(#REF!-G22)/AE22)</f>
        <v>#REF!</v>
      </c>
      <c r="AG22" s="171">
        <f t="shared" si="5"/>
        <v>660.54291240664566</v>
      </c>
      <c r="AH22" s="258">
        <f t="shared" si="6"/>
        <v>793.01638959291779</v>
      </c>
    </row>
    <row r="23" spans="1:34">
      <c r="A23" s="303"/>
      <c r="B23" s="303"/>
      <c r="C23" s="303"/>
      <c r="D23" s="75"/>
      <c r="E23" s="303">
        <v>2050</v>
      </c>
      <c r="F23" s="303"/>
      <c r="G23" s="156">
        <f>ELC_CEN!K34</f>
        <v>0.4</v>
      </c>
      <c r="H23" s="84">
        <f>ELC_CEN!T34</f>
        <v>5.0660000000000007</v>
      </c>
      <c r="I23" s="84">
        <f>ELC_CEN!U34</f>
        <v>0.1341</v>
      </c>
      <c r="J23" s="84">
        <f>ELC_CEN!V34</f>
        <v>9.5194444444444439</v>
      </c>
      <c r="K23" s="78"/>
      <c r="L23" s="78"/>
      <c r="M23" s="78"/>
      <c r="N23" s="81"/>
      <c r="O23" s="46"/>
      <c r="P23" s="306"/>
      <c r="Q23" s="46"/>
      <c r="R23" s="46"/>
      <c r="S23" s="405" t="str">
        <f>ELC_CEN!AJ34</f>
        <v>Tekkat2016</v>
      </c>
      <c r="T23" s="404">
        <f>ELC_CEN!AK34</f>
        <v>42817</v>
      </c>
      <c r="U23" s="405" t="str">
        <f>ELC_CEN!AL34</f>
        <v>ASHEG12</v>
      </c>
      <c r="V23" s="46"/>
      <c r="X23" s="169">
        <f>-PMT($AA$10,N20,H23)</f>
        <v>0.3242846034761791</v>
      </c>
      <c r="Y23" s="46">
        <f t="shared" si="4"/>
        <v>5000</v>
      </c>
      <c r="Z23" s="171">
        <f t="shared" si="0"/>
        <v>64.856920695235814</v>
      </c>
      <c r="AA23" s="171">
        <f t="shared" si="1"/>
        <v>26.82</v>
      </c>
      <c r="AB23" s="171">
        <f t="shared" si="2"/>
        <v>34.270000000000003</v>
      </c>
      <c r="AC23" s="171">
        <v>265.76809143791507</v>
      </c>
      <c r="AD23" s="171">
        <f t="shared" si="3"/>
        <v>2.5</v>
      </c>
      <c r="AE23" s="255">
        <v>2</v>
      </c>
      <c r="AF23" s="171" t="e">
        <f>IF(#REF!=0,0,(#REF!-G23)/AE23)</f>
        <v>#REF!</v>
      </c>
      <c r="AG23" s="171">
        <f t="shared" si="5"/>
        <v>664.42022859478766</v>
      </c>
      <c r="AH23" s="258">
        <f t="shared" si="6"/>
        <v>790.36714929002346</v>
      </c>
    </row>
    <row r="24" spans="1:34">
      <c r="A24" s="303" t="s">
        <v>510</v>
      </c>
      <c r="B24" s="303" t="s">
        <v>511</v>
      </c>
      <c r="C24" s="303" t="s">
        <v>380</v>
      </c>
      <c r="D24" s="75" t="s">
        <v>26</v>
      </c>
      <c r="E24" s="303">
        <v>2015</v>
      </c>
      <c r="F24" s="303">
        <v>2015</v>
      </c>
      <c r="G24" s="77">
        <v>0.34</v>
      </c>
      <c r="H24" s="305">
        <f>2.5*Euro</f>
        <v>18.625</v>
      </c>
      <c r="I24" s="305">
        <v>0</v>
      </c>
      <c r="J24" s="305">
        <f t="shared" ref="J24:J31" si="7">7*Euro/3.6</f>
        <v>14.486111111111111</v>
      </c>
      <c r="K24" s="78">
        <v>3.1536000000000002E-2</v>
      </c>
      <c r="L24" s="77">
        <v>0.9</v>
      </c>
      <c r="M24" s="78">
        <v>1</v>
      </c>
      <c r="N24" s="80">
        <v>25</v>
      </c>
      <c r="O24" s="46"/>
      <c r="Q24" s="46"/>
      <c r="R24" s="46"/>
      <c r="S24" s="302"/>
      <c r="T24" s="302"/>
      <c r="U24" s="302"/>
      <c r="V24" s="46"/>
      <c r="X24" s="169"/>
      <c r="Y24" s="46"/>
      <c r="AD24" s="46"/>
    </row>
    <row r="25" spans="1:34">
      <c r="A25" s="303"/>
      <c r="B25" s="303"/>
      <c r="C25" s="303"/>
      <c r="D25" s="75"/>
      <c r="E25" s="303">
        <v>2020</v>
      </c>
      <c r="F25" s="303"/>
      <c r="G25" s="77">
        <v>0.35</v>
      </c>
      <c r="H25" s="305">
        <f>2.1*Euro</f>
        <v>15.645000000000001</v>
      </c>
      <c r="I25" s="305">
        <v>0</v>
      </c>
      <c r="J25" s="305">
        <f t="shared" si="7"/>
        <v>14.486111111111111</v>
      </c>
      <c r="K25" s="78"/>
      <c r="L25" s="78"/>
      <c r="M25" s="78"/>
      <c r="N25" s="81"/>
      <c r="O25" s="46"/>
      <c r="Q25" s="46"/>
      <c r="R25" s="46"/>
      <c r="S25" s="46"/>
      <c r="T25" s="46"/>
      <c r="U25" s="46"/>
      <c r="V25" s="46"/>
      <c r="X25" s="169"/>
      <c r="Y25" s="46"/>
      <c r="AD25" s="46"/>
    </row>
    <row r="26" spans="1:34">
      <c r="A26" s="303"/>
      <c r="B26" s="303"/>
      <c r="C26" s="303"/>
      <c r="D26" s="75"/>
      <c r="E26" s="303">
        <v>2030</v>
      </c>
      <c r="F26" s="303"/>
      <c r="G26" s="77">
        <v>0.36</v>
      </c>
      <c r="H26" s="305">
        <f>1.75*Euro</f>
        <v>13.0375</v>
      </c>
      <c r="I26" s="305">
        <v>0</v>
      </c>
      <c r="J26" s="305">
        <f t="shared" si="7"/>
        <v>14.486111111111111</v>
      </c>
      <c r="K26" s="78"/>
      <c r="L26" s="78"/>
      <c r="M26" s="78"/>
      <c r="N26" s="81"/>
      <c r="O26" s="46"/>
      <c r="Q26" s="46"/>
      <c r="R26" s="46"/>
      <c r="S26" s="46"/>
      <c r="T26" s="46"/>
      <c r="U26" s="46"/>
      <c r="V26" s="46"/>
      <c r="Y26" s="169"/>
      <c r="AD26" s="46"/>
    </row>
    <row r="27" spans="1:34">
      <c r="A27" s="303"/>
      <c r="B27" s="303"/>
      <c r="C27" s="303"/>
      <c r="D27" s="75"/>
      <c r="E27" s="303">
        <v>2050</v>
      </c>
      <c r="F27" s="303"/>
      <c r="G27" s="77">
        <v>0.37</v>
      </c>
      <c r="H27" s="305">
        <f>1.5*Euro</f>
        <v>11.175000000000001</v>
      </c>
      <c r="I27" s="305">
        <v>0</v>
      </c>
      <c r="J27" s="305">
        <f t="shared" si="7"/>
        <v>14.486111111111111</v>
      </c>
      <c r="K27" s="78"/>
      <c r="L27" s="78"/>
      <c r="M27" s="78"/>
      <c r="N27" s="81"/>
      <c r="O27" s="46"/>
      <c r="P27" s="46"/>
      <c r="Q27" s="46"/>
      <c r="R27" s="46"/>
      <c r="S27" s="46"/>
      <c r="T27" s="46"/>
      <c r="U27" s="46"/>
      <c r="V27" s="46"/>
      <c r="Y27" s="46"/>
      <c r="AD27" s="169"/>
    </row>
    <row r="28" spans="1:34">
      <c r="A28" s="303" t="s">
        <v>512</v>
      </c>
      <c r="B28" s="303" t="s">
        <v>513</v>
      </c>
      <c r="C28" s="303" t="s">
        <v>381</v>
      </c>
      <c r="D28" s="75" t="s">
        <v>26</v>
      </c>
      <c r="E28" s="303">
        <v>2015</v>
      </c>
      <c r="F28" s="303">
        <v>2015</v>
      </c>
      <c r="G28" s="77">
        <v>0.34</v>
      </c>
      <c r="H28" s="305">
        <f>2.5*Euro</f>
        <v>18.625</v>
      </c>
      <c r="I28" s="305">
        <v>0</v>
      </c>
      <c r="J28" s="305">
        <f t="shared" si="7"/>
        <v>14.486111111111111</v>
      </c>
      <c r="K28" s="78">
        <v>3.1536000000000002E-2</v>
      </c>
      <c r="L28" s="77">
        <v>0.9</v>
      </c>
      <c r="M28" s="78">
        <v>1</v>
      </c>
      <c r="N28" s="80">
        <v>25</v>
      </c>
      <c r="O28" s="46"/>
      <c r="P28" s="46"/>
      <c r="Q28" s="302"/>
      <c r="R28" s="302"/>
      <c r="S28" s="302"/>
      <c r="T28" s="302"/>
      <c r="U28" s="46"/>
      <c r="V28" s="46"/>
      <c r="Y28" s="46"/>
      <c r="AD28" s="46"/>
    </row>
    <row r="29" spans="1:34">
      <c r="A29" s="303"/>
      <c r="B29" s="303"/>
      <c r="C29" s="303"/>
      <c r="D29" s="75"/>
      <c r="E29" s="303">
        <v>2020</v>
      </c>
      <c r="F29" s="303"/>
      <c r="G29" s="77">
        <v>0.35</v>
      </c>
      <c r="H29" s="305">
        <f>2.1*Euro</f>
        <v>15.645000000000001</v>
      </c>
      <c r="I29" s="305">
        <v>0</v>
      </c>
      <c r="J29" s="305">
        <f t="shared" si="7"/>
        <v>14.486111111111111</v>
      </c>
      <c r="K29" s="78"/>
      <c r="L29" s="78"/>
      <c r="M29" s="78"/>
      <c r="N29" s="81"/>
      <c r="O29" s="46"/>
      <c r="P29" s="46"/>
      <c r="Q29" s="302"/>
      <c r="R29" s="302"/>
      <c r="S29" s="302"/>
      <c r="U29" s="46"/>
      <c r="V29" s="302"/>
      <c r="W29" s="302"/>
      <c r="X29" s="302"/>
      <c r="AD29" s="46"/>
    </row>
    <row r="30" spans="1:34">
      <c r="A30" s="303"/>
      <c r="B30" s="303"/>
      <c r="C30" s="303"/>
      <c r="D30" s="75"/>
      <c r="E30" s="303">
        <v>2030</v>
      </c>
      <c r="F30" s="303"/>
      <c r="G30" s="77">
        <v>0.36</v>
      </c>
      <c r="H30" s="305">
        <f>1.75*Euro</f>
        <v>13.0375</v>
      </c>
      <c r="I30" s="305">
        <v>0</v>
      </c>
      <c r="J30" s="305">
        <f t="shared" si="7"/>
        <v>14.486111111111111</v>
      </c>
      <c r="K30" s="78"/>
      <c r="L30" s="78"/>
      <c r="M30" s="78"/>
      <c r="N30" s="81"/>
      <c r="O30" s="46"/>
      <c r="P30" s="46"/>
      <c r="Q30" s="302"/>
      <c r="R30" s="302"/>
      <c r="S30" s="302"/>
      <c r="U30" s="46"/>
      <c r="V30" s="302"/>
      <c r="W30" s="302"/>
      <c r="X30" s="302"/>
      <c r="AD30" s="46"/>
    </row>
    <row r="31" spans="1:34" s="329" customFormat="1">
      <c r="A31" s="303"/>
      <c r="B31" s="303"/>
      <c r="C31" s="303"/>
      <c r="D31" s="75"/>
      <c r="E31" s="303">
        <v>2050</v>
      </c>
      <c r="F31" s="303"/>
      <c r="G31" s="77">
        <v>0.37</v>
      </c>
      <c r="H31" s="305">
        <f>1.5*Euro</f>
        <v>11.175000000000001</v>
      </c>
      <c r="I31" s="305">
        <v>0</v>
      </c>
      <c r="J31" s="305">
        <f t="shared" si="7"/>
        <v>14.486111111111111</v>
      </c>
      <c r="K31" s="78"/>
      <c r="L31" s="78"/>
      <c r="M31" s="78"/>
      <c r="N31" s="81"/>
      <c r="O31" s="46"/>
      <c r="P31" s="46"/>
      <c r="Q31" s="302"/>
      <c r="R31" s="302"/>
      <c r="S31" s="302"/>
      <c r="T31" s="332"/>
      <c r="V31" s="333"/>
      <c r="W31" s="333"/>
      <c r="X31" s="333"/>
      <c r="Y31" s="333"/>
    </row>
    <row r="32" spans="1:34">
      <c r="H32" s="46"/>
      <c r="I32" s="46"/>
      <c r="J32" s="46"/>
      <c r="K32" s="46"/>
      <c r="L32" s="46"/>
      <c r="M32" s="46"/>
      <c r="N32" s="46"/>
      <c r="O32" s="46"/>
      <c r="P32" s="46"/>
      <c r="Q32" s="302"/>
      <c r="R32" s="302"/>
      <c r="S32" s="302"/>
      <c r="U32" s="46"/>
      <c r="V32" s="302"/>
      <c r="W32" s="302"/>
      <c r="X32" s="302"/>
      <c r="AD32" s="46"/>
    </row>
    <row r="33" spans="1:31">
      <c r="G33" s="166"/>
      <c r="H33" s="166"/>
      <c r="I33" s="166"/>
      <c r="J33" s="166"/>
      <c r="K33" s="46"/>
      <c r="L33" s="46"/>
      <c r="M33" s="46"/>
      <c r="N33" s="46"/>
      <c r="O33" s="46"/>
      <c r="P33" s="46"/>
      <c r="Q33" s="302"/>
      <c r="R33" s="302"/>
      <c r="S33" s="302"/>
      <c r="U33" s="46"/>
      <c r="V33" s="302"/>
      <c r="W33" s="302"/>
      <c r="X33" s="302"/>
      <c r="AD33" s="46"/>
    </row>
    <row r="34" spans="1:31">
      <c r="H34" s="46"/>
      <c r="I34" s="46"/>
      <c r="J34" s="46"/>
      <c r="K34" s="46"/>
      <c r="L34" s="46"/>
      <c r="M34" s="46"/>
      <c r="N34" s="46"/>
      <c r="O34" s="46"/>
      <c r="P34" s="46"/>
      <c r="Q34" s="302"/>
      <c r="R34" s="302"/>
      <c r="S34" s="302"/>
      <c r="T34" s="46"/>
      <c r="V34" s="46"/>
      <c r="W34" s="302"/>
      <c r="X34" s="302"/>
      <c r="AD34" s="46"/>
    </row>
    <row r="35" spans="1:31">
      <c r="H35" s="46"/>
      <c r="I35" s="46"/>
      <c r="J35" s="46"/>
      <c r="K35" s="46"/>
      <c r="L35" s="46"/>
      <c r="M35" s="46"/>
      <c r="N35" s="46"/>
      <c r="O35" s="46"/>
      <c r="P35" s="46"/>
      <c r="Q35" s="302"/>
      <c r="R35" s="302"/>
      <c r="S35" s="302"/>
      <c r="T35" s="46"/>
      <c r="V35" s="46"/>
      <c r="W35" s="302"/>
      <c r="X35" s="302"/>
      <c r="AD35" s="46"/>
    </row>
    <row r="36" spans="1:31">
      <c r="H36" s="46"/>
      <c r="I36" s="46"/>
      <c r="J36" s="46"/>
      <c r="K36" s="46"/>
      <c r="L36" s="46"/>
      <c r="M36" s="46"/>
      <c r="N36" s="46"/>
      <c r="O36" s="46"/>
      <c r="P36" s="46"/>
      <c r="Q36" s="302"/>
      <c r="R36" s="302"/>
      <c r="S36" s="302"/>
      <c r="T36" s="46"/>
      <c r="V36" s="46"/>
      <c r="W36" s="302"/>
      <c r="X36" s="302"/>
      <c r="AD36" s="46"/>
    </row>
    <row r="37" spans="1:31">
      <c r="H37" s="46"/>
      <c r="I37" s="46"/>
      <c r="J37" s="46"/>
      <c r="K37" s="46"/>
      <c r="L37" s="46"/>
      <c r="M37" s="46"/>
      <c r="N37" s="46"/>
      <c r="O37" s="46"/>
      <c r="P37" s="46"/>
      <c r="Q37" s="302"/>
      <c r="R37" s="302"/>
      <c r="S37" s="302"/>
      <c r="T37" s="46"/>
      <c r="V37" s="46"/>
      <c r="W37" s="302"/>
      <c r="X37" s="302"/>
      <c r="AD37" s="46"/>
    </row>
    <row r="38" spans="1:31">
      <c r="K38" s="46"/>
      <c r="L38" s="46"/>
      <c r="M38" s="46"/>
      <c r="N38" s="46"/>
      <c r="O38" s="46"/>
      <c r="P38" s="46"/>
      <c r="R38" s="46"/>
      <c r="T38" s="46"/>
      <c r="V38" s="46"/>
      <c r="W38" s="302"/>
      <c r="X38" s="302"/>
      <c r="AD38" s="46"/>
    </row>
    <row r="39" spans="1:31">
      <c r="R39" s="46"/>
    </row>
    <row r="40" spans="1:31">
      <c r="A40" s="267" t="s">
        <v>49</v>
      </c>
      <c r="B40" s="268"/>
      <c r="C40" s="268"/>
      <c r="D40" s="268"/>
      <c r="E40" s="268"/>
      <c r="F40" s="268"/>
      <c r="G40" s="268"/>
      <c r="H40" s="268"/>
      <c r="I40" s="88"/>
      <c r="M40" s="46"/>
      <c r="N40" s="281"/>
      <c r="O40" s="281"/>
      <c r="P40" s="281"/>
      <c r="Q40" s="281"/>
      <c r="R40" s="281"/>
      <c r="S40" s="281"/>
      <c r="T40" s="281"/>
    </row>
    <row r="41" spans="1:31">
      <c r="A41" s="267"/>
      <c r="B41" s="268"/>
      <c r="C41" s="268"/>
      <c r="D41" s="268"/>
      <c r="E41" s="268"/>
      <c r="F41" s="268"/>
      <c r="G41" s="268"/>
      <c r="H41" s="268"/>
      <c r="I41" s="88"/>
      <c r="M41" s="267" t="s">
        <v>69</v>
      </c>
      <c r="N41" s="281"/>
      <c r="O41" s="281"/>
      <c r="P41" s="281"/>
      <c r="Q41" s="281"/>
      <c r="R41" s="281"/>
      <c r="S41" s="281"/>
      <c r="T41" s="281"/>
    </row>
    <row r="42" spans="1:31">
      <c r="A42" s="269" t="s">
        <v>50</v>
      </c>
      <c r="B42" s="269" t="s">
        <v>1</v>
      </c>
      <c r="C42" s="269" t="s">
        <v>51</v>
      </c>
      <c r="D42" s="269" t="s">
        <v>52</v>
      </c>
      <c r="E42" s="269" t="s">
        <v>53</v>
      </c>
      <c r="F42" s="269" t="s">
        <v>54</v>
      </c>
      <c r="G42" s="269" t="s">
        <v>55</v>
      </c>
      <c r="H42" s="269" t="s">
        <v>56</v>
      </c>
      <c r="I42" s="334"/>
      <c r="M42" s="282" t="s">
        <v>70</v>
      </c>
      <c r="N42" s="282" t="s">
        <v>71</v>
      </c>
      <c r="O42" s="282" t="s">
        <v>72</v>
      </c>
      <c r="P42" s="283" t="s">
        <v>73</v>
      </c>
      <c r="Q42" s="283" t="s">
        <v>74</v>
      </c>
      <c r="R42" s="283" t="s">
        <v>75</v>
      </c>
      <c r="S42" s="283" t="s">
        <v>76</v>
      </c>
      <c r="T42" s="283" t="s">
        <v>77</v>
      </c>
    </row>
    <row r="43" spans="1:31" ht="72.599999999999994" thickBot="1">
      <c r="A43" s="335" t="s">
        <v>57</v>
      </c>
      <c r="B43" s="335" t="s">
        <v>58</v>
      </c>
      <c r="C43" s="335" t="s">
        <v>59</v>
      </c>
      <c r="D43" s="335" t="s">
        <v>60</v>
      </c>
      <c r="E43" s="335" t="s">
        <v>61</v>
      </c>
      <c r="F43" s="335" t="s">
        <v>62</v>
      </c>
      <c r="G43" s="335" t="s">
        <v>63</v>
      </c>
      <c r="H43" s="335" t="s">
        <v>64</v>
      </c>
      <c r="I43" s="336"/>
      <c r="J43" s="332"/>
      <c r="K43" s="332"/>
      <c r="L43" s="332"/>
      <c r="M43" s="284" t="s">
        <v>78</v>
      </c>
      <c r="N43" s="284" t="s">
        <v>79</v>
      </c>
      <c r="O43" s="284" t="s">
        <v>80</v>
      </c>
      <c r="P43" s="284" t="s">
        <v>73</v>
      </c>
      <c r="Q43" s="284" t="s">
        <v>81</v>
      </c>
      <c r="R43" s="284" t="s">
        <v>82</v>
      </c>
      <c r="S43" s="284" t="s">
        <v>83</v>
      </c>
      <c r="T43" s="284" t="s">
        <v>84</v>
      </c>
    </row>
    <row r="44" spans="1:31">
      <c r="A44" s="271" t="s">
        <v>66</v>
      </c>
      <c r="B44" s="272" t="str">
        <f>A16</f>
        <v>ETNGAGTC1N</v>
      </c>
      <c r="C44" s="272" t="s">
        <v>506</v>
      </c>
      <c r="D44" s="273" t="s">
        <v>86</v>
      </c>
      <c r="E44" s="273" t="s">
        <v>20</v>
      </c>
      <c r="F44" s="274"/>
      <c r="G44" s="271"/>
      <c r="H44" s="271" t="s">
        <v>68</v>
      </c>
      <c r="M44" s="271" t="s">
        <v>85</v>
      </c>
      <c r="N44" s="277" t="s">
        <v>380</v>
      </c>
      <c r="O44" s="337" t="s">
        <v>514</v>
      </c>
      <c r="P44" s="277" t="s">
        <v>86</v>
      </c>
      <c r="Q44" s="276"/>
      <c r="R44" s="276"/>
      <c r="S44" s="276"/>
      <c r="T44" s="276"/>
    </row>
    <row r="45" spans="1:31">
      <c r="A45" s="275"/>
      <c r="B45" s="272" t="str">
        <f>A20</f>
        <v>ETNGAGTC2N</v>
      </c>
      <c r="C45" s="272" t="s">
        <v>509</v>
      </c>
      <c r="D45" s="273" t="s">
        <v>86</v>
      </c>
      <c r="E45" s="273" t="s">
        <v>20</v>
      </c>
      <c r="F45" s="274"/>
      <c r="G45" s="271"/>
      <c r="H45" s="271" t="s">
        <v>68</v>
      </c>
      <c r="M45" s="276"/>
      <c r="N45" s="277" t="s">
        <v>381</v>
      </c>
      <c r="O45" s="337" t="s">
        <v>515</v>
      </c>
      <c r="P45" s="276" t="s">
        <v>86</v>
      </c>
      <c r="Q45" s="276"/>
      <c r="R45" s="276"/>
      <c r="S45" s="276"/>
      <c r="T45" s="276"/>
      <c r="U45" s="46"/>
      <c r="W45" s="23"/>
      <c r="X45" s="23"/>
      <c r="Y45" s="46"/>
      <c r="AE45" s="302"/>
    </row>
    <row r="46" spans="1:31">
      <c r="A46" s="277"/>
      <c r="B46" s="272" t="str">
        <f>A24</f>
        <v>ETWPEGTC1N</v>
      </c>
      <c r="C46" s="272" t="s">
        <v>511</v>
      </c>
      <c r="D46" s="273" t="s">
        <v>86</v>
      </c>
      <c r="E46" s="273" t="s">
        <v>20</v>
      </c>
      <c r="F46" s="274"/>
      <c r="G46" s="271"/>
      <c r="H46" s="271" t="s">
        <v>68</v>
      </c>
      <c r="I46" s="145"/>
      <c r="U46" s="46"/>
      <c r="W46" s="23"/>
      <c r="X46" s="23"/>
      <c r="Y46" s="46"/>
      <c r="AE46" s="302"/>
    </row>
    <row r="47" spans="1:31">
      <c r="A47" s="277"/>
      <c r="B47" s="272" t="str">
        <f>A28</f>
        <v>ETWCHGTC1N</v>
      </c>
      <c r="C47" s="272" t="s">
        <v>513</v>
      </c>
      <c r="D47" s="273" t="s">
        <v>86</v>
      </c>
      <c r="E47" s="273" t="s">
        <v>20</v>
      </c>
      <c r="F47" s="274"/>
      <c r="G47" s="271"/>
      <c r="H47" s="271" t="s">
        <v>68</v>
      </c>
      <c r="I47" s="145"/>
      <c r="U47" s="46"/>
      <c r="W47" s="23"/>
      <c r="X47" s="23"/>
      <c r="Y47" s="46"/>
      <c r="AE47" s="302"/>
    </row>
    <row r="48" spans="1:31">
      <c r="A48" s="145"/>
      <c r="B48" s="303"/>
      <c r="C48" s="303"/>
      <c r="D48" s="147"/>
      <c r="E48" s="147"/>
      <c r="F48" s="148"/>
      <c r="G48" s="145"/>
      <c r="H48" s="145"/>
      <c r="I48" s="145"/>
      <c r="U48" s="46"/>
      <c r="W48" s="23"/>
      <c r="X48" s="23"/>
      <c r="Y48" s="46"/>
      <c r="AE48" s="302"/>
    </row>
    <row r="49" spans="1:31">
      <c r="A49" s="145"/>
      <c r="B49" s="303"/>
      <c r="C49" s="303"/>
      <c r="D49" s="147"/>
      <c r="E49" s="147"/>
      <c r="F49" s="148"/>
      <c r="G49" s="145"/>
      <c r="H49" s="145"/>
      <c r="I49" s="145"/>
      <c r="U49" s="46"/>
      <c r="W49" s="23"/>
      <c r="X49" s="23"/>
      <c r="Y49" s="46"/>
      <c r="AE49" s="302"/>
    </row>
    <row r="50" spans="1:31">
      <c r="U50" s="46"/>
      <c r="W50" s="23"/>
      <c r="X50" s="23"/>
      <c r="Y50" s="46"/>
      <c r="AE50" s="302"/>
    </row>
    <row r="51" spans="1:31">
      <c r="A51" s="46"/>
      <c r="U51" s="46"/>
      <c r="W51" s="23"/>
      <c r="X51" s="23"/>
      <c r="Y51" s="46"/>
      <c r="AE51" s="302"/>
    </row>
    <row r="52" spans="1:31">
      <c r="A52" s="46"/>
      <c r="U52" s="46"/>
      <c r="W52" s="23"/>
      <c r="X52" s="23"/>
      <c r="Y52" s="46"/>
      <c r="AE52" s="302"/>
    </row>
    <row r="53" spans="1:31">
      <c r="U53" s="46"/>
      <c r="W53" s="23"/>
      <c r="X53" s="23"/>
      <c r="Y53" s="46"/>
      <c r="AE53" s="302"/>
    </row>
    <row r="54" spans="1:31">
      <c r="A54" s="46"/>
      <c r="B54" s="46"/>
      <c r="C54" s="46"/>
      <c r="D54" s="46"/>
      <c r="E54" s="46"/>
      <c r="F54" s="46"/>
      <c r="G54" s="46"/>
      <c r="H54" s="46"/>
      <c r="I54" s="46"/>
      <c r="U54" s="46"/>
      <c r="W54" s="23"/>
      <c r="X54" s="23"/>
      <c r="Y54" s="46"/>
      <c r="AE54" s="302"/>
    </row>
    <row r="55" spans="1:31">
      <c r="A55" s="46"/>
      <c r="B55" s="46"/>
      <c r="C55" s="46"/>
      <c r="D55" s="46"/>
      <c r="E55" s="46"/>
      <c r="F55" s="46"/>
      <c r="G55" s="46"/>
      <c r="H55" s="46"/>
      <c r="I55" s="46"/>
      <c r="U55" s="46"/>
      <c r="W55" s="23"/>
      <c r="X55" s="23"/>
      <c r="Y55" s="46"/>
      <c r="AE55" s="302"/>
    </row>
    <row r="56" spans="1:31">
      <c r="A56" s="46"/>
      <c r="B56" s="46"/>
      <c r="C56" s="46"/>
      <c r="D56" s="46"/>
      <c r="E56" s="46"/>
      <c r="F56" s="46"/>
      <c r="G56" s="46"/>
      <c r="H56" s="46"/>
      <c r="I56" s="46"/>
      <c r="J56" s="46"/>
      <c r="U56" s="46"/>
      <c r="W56" s="23"/>
      <c r="X56" s="23"/>
      <c r="Y56" s="46"/>
      <c r="AE56" s="302"/>
    </row>
    <row r="57" spans="1:31">
      <c r="A57" s="46"/>
      <c r="B57" s="46"/>
      <c r="C57" s="46"/>
      <c r="D57" s="46"/>
      <c r="E57" s="46"/>
      <c r="F57" s="46"/>
      <c r="G57" s="46"/>
      <c r="H57" s="46"/>
      <c r="I57" s="46"/>
      <c r="J57" s="46"/>
      <c r="U57" s="46"/>
      <c r="W57" s="23"/>
      <c r="X57" s="23"/>
      <c r="Y57" s="46"/>
      <c r="AE57" s="302"/>
    </row>
    <row r="58" spans="1:31">
      <c r="A58" s="46"/>
      <c r="B58" s="46"/>
      <c r="C58" s="46"/>
      <c r="D58" s="46"/>
      <c r="E58" s="46"/>
      <c r="F58" s="46"/>
      <c r="G58" s="46"/>
      <c r="H58" s="46"/>
      <c r="I58" s="46"/>
      <c r="J58" s="46"/>
      <c r="U58" s="46"/>
      <c r="W58" s="23"/>
      <c r="X58" s="23"/>
      <c r="Y58" s="46"/>
      <c r="AE58" s="302"/>
    </row>
    <row r="59" spans="1:31">
      <c r="A59" s="46"/>
      <c r="B59" s="46"/>
      <c r="C59" s="46"/>
      <c r="D59" s="46"/>
      <c r="E59" s="46"/>
      <c r="F59" s="46"/>
      <c r="G59" s="46"/>
      <c r="H59" s="46"/>
      <c r="I59" s="46"/>
      <c r="J59" s="46"/>
      <c r="U59" s="46"/>
      <c r="W59" s="23"/>
      <c r="X59" s="23"/>
      <c r="Y59" s="46"/>
      <c r="AE59" s="302"/>
    </row>
    <row r="60" spans="1:31">
      <c r="A60" s="46"/>
      <c r="B60" s="46"/>
      <c r="C60" s="46"/>
      <c r="D60" s="46"/>
      <c r="E60" s="46"/>
      <c r="F60" s="46"/>
      <c r="G60" s="46"/>
      <c r="H60" s="46"/>
      <c r="I60" s="46"/>
      <c r="J60" s="46"/>
      <c r="U60" s="46"/>
      <c r="W60" s="23"/>
      <c r="X60" s="23"/>
      <c r="Y60" s="46"/>
      <c r="AE60" s="302"/>
    </row>
    <row r="61" spans="1:31">
      <c r="A61" s="46"/>
      <c r="B61" s="46"/>
      <c r="C61" s="46"/>
      <c r="D61" s="46"/>
      <c r="E61" s="46"/>
      <c r="F61" s="46"/>
      <c r="G61" s="46"/>
      <c r="H61" s="46"/>
      <c r="I61" s="46"/>
      <c r="J61" s="46"/>
      <c r="U61" s="46"/>
      <c r="W61" s="23"/>
      <c r="X61" s="23"/>
      <c r="Y61" s="46"/>
      <c r="AE61" s="302"/>
    </row>
    <row r="62" spans="1:31">
      <c r="A62" s="46"/>
      <c r="B62" s="46"/>
      <c r="C62" s="46"/>
      <c r="D62" s="46"/>
      <c r="E62" s="46"/>
      <c r="F62" s="46"/>
      <c r="G62" s="46"/>
      <c r="H62" s="46"/>
      <c r="I62" s="46"/>
      <c r="J62" s="46"/>
      <c r="U62" s="46"/>
      <c r="W62" s="23"/>
      <c r="X62" s="23"/>
      <c r="Y62" s="46"/>
      <c r="AE62" s="302"/>
    </row>
    <row r="63" spans="1:31">
      <c r="A63" s="46"/>
      <c r="B63" s="46"/>
      <c r="C63" s="46"/>
      <c r="D63" s="46"/>
      <c r="E63" s="46"/>
      <c r="F63" s="46"/>
      <c r="G63" s="46"/>
      <c r="H63" s="46"/>
      <c r="I63" s="46"/>
      <c r="J63" s="46"/>
      <c r="U63" s="46"/>
      <c r="W63" s="23"/>
      <c r="X63" s="23"/>
      <c r="Y63" s="46"/>
      <c r="AE63" s="302"/>
    </row>
    <row r="64" spans="1:31">
      <c r="A64" s="46"/>
      <c r="B64" s="46"/>
      <c r="C64" s="46"/>
      <c r="D64" s="46"/>
      <c r="E64" s="46"/>
      <c r="F64" s="46"/>
      <c r="G64" s="46"/>
      <c r="H64" s="46"/>
      <c r="I64" s="46"/>
      <c r="J64" s="46"/>
      <c r="U64" s="46"/>
      <c r="W64" s="23"/>
      <c r="X64" s="23"/>
      <c r="Y64" s="46"/>
      <c r="AE64" s="302"/>
    </row>
    <row r="65" spans="1:31">
      <c r="A65" s="46"/>
      <c r="B65" s="46"/>
      <c r="C65" s="46"/>
      <c r="D65" s="46"/>
      <c r="E65" s="46"/>
      <c r="F65" s="46"/>
      <c r="G65" s="46"/>
      <c r="H65" s="46"/>
      <c r="I65" s="46"/>
      <c r="J65" s="46"/>
      <c r="U65" s="46"/>
      <c r="W65" s="23"/>
      <c r="X65" s="23"/>
      <c r="Y65" s="46"/>
      <c r="AE65" s="302"/>
    </row>
    <row r="66" spans="1:31">
      <c r="A66" s="46"/>
      <c r="B66" s="46"/>
      <c r="C66" s="46"/>
      <c r="D66" s="46"/>
      <c r="E66" s="46"/>
      <c r="F66" s="46"/>
      <c r="G66" s="46"/>
      <c r="H66" s="46"/>
      <c r="I66" s="46"/>
      <c r="J66" s="46"/>
      <c r="U66" s="46"/>
      <c r="W66" s="23"/>
      <c r="X66" s="23"/>
      <c r="Y66" s="46"/>
      <c r="AE66" s="302"/>
    </row>
    <row r="67" spans="1:31">
      <c r="A67" s="46"/>
      <c r="B67" s="46"/>
      <c r="C67" s="46"/>
      <c r="D67" s="46"/>
      <c r="E67" s="46"/>
      <c r="F67" s="46"/>
      <c r="G67" s="46"/>
      <c r="H67" s="46"/>
      <c r="I67" s="46"/>
      <c r="J67" s="46"/>
      <c r="U67" s="46"/>
      <c r="W67" s="23"/>
      <c r="X67" s="23"/>
      <c r="Y67" s="46"/>
      <c r="AE67" s="302"/>
    </row>
    <row r="68" spans="1:31">
      <c r="A68" s="46"/>
      <c r="B68" s="46"/>
      <c r="C68" s="46"/>
      <c r="D68" s="46"/>
      <c r="E68" s="46"/>
      <c r="F68" s="46"/>
      <c r="G68" s="46"/>
      <c r="H68" s="46"/>
      <c r="I68" s="46"/>
      <c r="J68" s="46"/>
      <c r="U68" s="46"/>
      <c r="W68" s="23"/>
      <c r="X68" s="23"/>
      <c r="Y68" s="46"/>
      <c r="AE68" s="302"/>
    </row>
    <row r="69" spans="1:31">
      <c r="A69" s="46"/>
      <c r="B69" s="46"/>
      <c r="C69" s="46"/>
      <c r="D69" s="46"/>
      <c r="E69" s="46"/>
      <c r="F69" s="46"/>
      <c r="G69" s="46"/>
      <c r="H69" s="46"/>
      <c r="I69" s="46"/>
      <c r="J69" s="46"/>
      <c r="U69" s="46"/>
      <c r="W69" s="23"/>
      <c r="X69" s="23"/>
      <c r="Y69" s="46"/>
      <c r="AE69" s="302"/>
    </row>
    <row r="70" spans="1:31">
      <c r="A70" s="46"/>
      <c r="B70" s="46"/>
      <c r="C70" s="46"/>
      <c r="D70" s="46"/>
      <c r="E70" s="46"/>
      <c r="F70" s="46"/>
      <c r="G70" s="46"/>
      <c r="H70" s="46"/>
      <c r="I70" s="46"/>
      <c r="J70" s="46"/>
      <c r="U70" s="46"/>
      <c r="W70" s="23"/>
      <c r="X70" s="23"/>
      <c r="Y70" s="46"/>
      <c r="AE70" s="302"/>
    </row>
    <row r="71" spans="1:31">
      <c r="A71" s="46"/>
      <c r="B71" s="46"/>
      <c r="C71" s="46"/>
      <c r="D71" s="46"/>
      <c r="E71" s="46"/>
      <c r="F71" s="46"/>
      <c r="G71" s="46"/>
      <c r="H71" s="46"/>
      <c r="I71" s="46"/>
      <c r="J71" s="46"/>
      <c r="U71" s="46"/>
      <c r="W71" s="23"/>
      <c r="X71" s="23"/>
      <c r="Y71" s="46"/>
      <c r="AE71" s="302"/>
    </row>
    <row r="72" spans="1:31">
      <c r="A72" s="46"/>
      <c r="B72" s="46"/>
      <c r="C72" s="46"/>
      <c r="D72" s="46"/>
      <c r="E72" s="46"/>
      <c r="F72" s="46"/>
      <c r="G72" s="46"/>
      <c r="H72" s="46"/>
      <c r="I72" s="46"/>
      <c r="J72" s="46"/>
      <c r="U72" s="46"/>
      <c r="W72" s="23"/>
      <c r="X72" s="23"/>
      <c r="Y72" s="46"/>
      <c r="AE72" s="302"/>
    </row>
    <row r="73" spans="1:31">
      <c r="A73" s="46"/>
      <c r="B73" s="46"/>
      <c r="C73" s="46"/>
      <c r="D73" s="46"/>
      <c r="E73" s="46"/>
      <c r="F73" s="46"/>
      <c r="G73" s="46"/>
      <c r="H73" s="46"/>
      <c r="I73" s="46"/>
      <c r="J73" s="46"/>
      <c r="U73" s="46"/>
      <c r="W73" s="23"/>
      <c r="X73" s="23"/>
      <c r="Y73" s="46"/>
      <c r="AE73" s="302"/>
    </row>
    <row r="74" spans="1:31">
      <c r="A74" s="46"/>
      <c r="B74" s="46"/>
      <c r="C74" s="46"/>
      <c r="D74" s="46"/>
      <c r="E74" s="46"/>
      <c r="F74" s="46"/>
      <c r="G74" s="46"/>
      <c r="H74" s="46"/>
      <c r="I74" s="46"/>
      <c r="J74" s="46"/>
      <c r="U74" s="46"/>
      <c r="W74" s="23"/>
      <c r="X74" s="23"/>
      <c r="Y74" s="46"/>
      <c r="AE74" s="302"/>
    </row>
    <row r="75" spans="1:31">
      <c r="A75" s="46"/>
      <c r="B75" s="46"/>
      <c r="C75" s="46"/>
      <c r="D75" s="46"/>
      <c r="E75" s="46"/>
      <c r="F75" s="46"/>
      <c r="G75" s="46"/>
      <c r="H75" s="46"/>
      <c r="I75" s="46"/>
      <c r="J75" s="46"/>
      <c r="U75" s="46"/>
      <c r="W75" s="23"/>
      <c r="X75" s="23"/>
      <c r="Y75" s="46"/>
      <c r="AE75" s="302"/>
    </row>
    <row r="76" spans="1:31">
      <c r="A76" s="46"/>
      <c r="B76" s="46"/>
      <c r="C76" s="46"/>
      <c r="D76" s="46"/>
      <c r="E76" s="46"/>
      <c r="F76" s="46"/>
      <c r="G76" s="46"/>
      <c r="H76" s="46"/>
      <c r="I76" s="46"/>
      <c r="J76" s="46"/>
      <c r="U76" s="46"/>
      <c r="W76" s="23"/>
      <c r="X76" s="23"/>
      <c r="Y76" s="46"/>
      <c r="AE76" s="302"/>
    </row>
    <row r="77" spans="1:31">
      <c r="A77" s="46"/>
      <c r="B77" s="46"/>
      <c r="C77" s="46"/>
      <c r="D77" s="46"/>
      <c r="E77" s="46"/>
      <c r="F77" s="46"/>
      <c r="G77" s="46"/>
      <c r="H77" s="46"/>
      <c r="I77" s="46"/>
      <c r="J77" s="46"/>
      <c r="U77" s="46"/>
      <c r="W77" s="23"/>
      <c r="X77" s="23"/>
      <c r="Y77" s="46"/>
      <c r="AE77" s="302"/>
    </row>
    <row r="78" spans="1:31">
      <c r="A78" s="46"/>
      <c r="B78" s="46"/>
      <c r="C78" s="46"/>
      <c r="D78" s="46"/>
      <c r="E78" s="46"/>
      <c r="F78" s="46"/>
      <c r="G78" s="46"/>
      <c r="H78" s="46"/>
      <c r="I78" s="46"/>
      <c r="J78" s="46"/>
      <c r="U78" s="46"/>
      <c r="W78" s="23"/>
      <c r="X78" s="23"/>
      <c r="Y78" s="46"/>
      <c r="AE78" s="302"/>
    </row>
    <row r="79" spans="1:31">
      <c r="A79" s="46"/>
      <c r="B79" s="46"/>
      <c r="C79" s="46"/>
      <c r="D79" s="46"/>
      <c r="E79" s="46"/>
      <c r="F79" s="46"/>
      <c r="G79" s="46"/>
      <c r="H79" s="46"/>
      <c r="I79" s="46"/>
      <c r="J79" s="46"/>
      <c r="U79" s="46"/>
      <c r="W79" s="23"/>
      <c r="X79" s="23"/>
      <c r="Y79" s="46"/>
      <c r="AE79" s="302"/>
    </row>
    <row r="80" spans="1:31">
      <c r="A80" s="46"/>
      <c r="B80" s="46"/>
      <c r="C80" s="46"/>
      <c r="D80" s="46"/>
      <c r="E80" s="46"/>
      <c r="F80" s="46"/>
      <c r="G80" s="46"/>
      <c r="H80" s="46"/>
      <c r="I80" s="46"/>
      <c r="J80" s="46"/>
      <c r="U80" s="46"/>
      <c r="W80" s="23"/>
      <c r="X80" s="23"/>
      <c r="Y80" s="46"/>
      <c r="AE80" s="302"/>
    </row>
    <row r="81" spans="1:31">
      <c r="A81" s="46"/>
      <c r="B81" s="46"/>
      <c r="C81" s="46"/>
      <c r="D81" s="46"/>
      <c r="E81" s="46"/>
      <c r="F81" s="46"/>
      <c r="G81" s="46"/>
      <c r="H81" s="46"/>
      <c r="I81" s="46"/>
      <c r="J81" s="46"/>
      <c r="U81" s="46"/>
      <c r="W81" s="23"/>
      <c r="X81" s="23"/>
      <c r="Y81" s="46"/>
      <c r="AE81" s="302"/>
    </row>
    <row r="82" spans="1:31">
      <c r="A82" s="46"/>
      <c r="B82" s="46"/>
      <c r="C82" s="46"/>
      <c r="D82" s="46"/>
      <c r="E82" s="46"/>
      <c r="F82" s="46"/>
      <c r="G82" s="46"/>
      <c r="H82" s="46"/>
      <c r="I82" s="46"/>
      <c r="J82" s="46"/>
      <c r="U82" s="46"/>
      <c r="W82" s="23"/>
      <c r="X82" s="23"/>
      <c r="Y82" s="46"/>
      <c r="AE82" s="302"/>
    </row>
    <row r="83" spans="1:31">
      <c r="A83" s="46"/>
      <c r="B83" s="46"/>
      <c r="C83" s="46"/>
      <c r="D83" s="46"/>
      <c r="E83" s="46"/>
      <c r="F83" s="46"/>
      <c r="G83" s="46"/>
      <c r="H83" s="46"/>
      <c r="I83" s="46"/>
      <c r="J83" s="46"/>
      <c r="U83" s="46"/>
      <c r="W83" s="23"/>
      <c r="X83" s="23"/>
      <c r="Y83" s="46"/>
      <c r="AE83" s="302"/>
    </row>
    <row r="84" spans="1:31">
      <c r="A84" s="46"/>
      <c r="B84" s="46"/>
      <c r="C84" s="46"/>
      <c r="D84" s="46"/>
      <c r="E84" s="46"/>
      <c r="F84" s="46"/>
      <c r="G84" s="46"/>
      <c r="H84" s="46"/>
      <c r="I84" s="46"/>
      <c r="J84" s="46"/>
      <c r="U84" s="46"/>
      <c r="W84" s="23"/>
      <c r="X84" s="23"/>
      <c r="Y84" s="46"/>
      <c r="AE84" s="302"/>
    </row>
    <row r="85" spans="1:31">
      <c r="A85" s="46"/>
      <c r="B85" s="46"/>
      <c r="C85" s="46"/>
      <c r="D85" s="46"/>
      <c r="E85" s="46"/>
      <c r="F85" s="46"/>
      <c r="G85" s="46"/>
      <c r="H85" s="46"/>
      <c r="I85" s="46"/>
      <c r="J85" s="46"/>
      <c r="U85" s="46"/>
      <c r="W85" s="23"/>
      <c r="X85" s="23"/>
      <c r="Y85" s="46"/>
      <c r="AE85" s="302"/>
    </row>
    <row r="86" spans="1:31">
      <c r="A86" s="46"/>
      <c r="B86" s="46"/>
      <c r="C86" s="46"/>
      <c r="D86" s="46"/>
      <c r="E86" s="46"/>
      <c r="F86" s="46"/>
      <c r="G86" s="46"/>
      <c r="H86" s="46"/>
      <c r="I86" s="46"/>
      <c r="J86" s="46"/>
      <c r="U86" s="46"/>
      <c r="W86" s="23"/>
      <c r="X86" s="23"/>
      <c r="Y86" s="46"/>
      <c r="AE86" s="302"/>
    </row>
    <row r="87" spans="1:31">
      <c r="A87" s="46"/>
      <c r="B87" s="46"/>
      <c r="C87" s="46"/>
      <c r="D87" s="46"/>
      <c r="E87" s="46"/>
      <c r="F87" s="46"/>
      <c r="G87" s="46"/>
      <c r="H87" s="46"/>
      <c r="I87" s="46"/>
      <c r="J87" s="46"/>
      <c r="U87" s="46"/>
      <c r="W87" s="23"/>
      <c r="X87" s="23"/>
      <c r="Y87" s="46"/>
      <c r="AE87" s="302"/>
    </row>
    <row r="88" spans="1:31">
      <c r="A88" s="46"/>
      <c r="B88" s="46"/>
      <c r="C88" s="46"/>
      <c r="D88" s="46"/>
      <c r="E88" s="46"/>
      <c r="F88" s="46"/>
      <c r="G88" s="46"/>
      <c r="H88" s="46"/>
      <c r="I88" s="46"/>
      <c r="J88" s="46"/>
      <c r="U88" s="46"/>
      <c r="W88" s="23"/>
      <c r="X88" s="23"/>
      <c r="Y88" s="46"/>
      <c r="AE88" s="302"/>
    </row>
    <row r="89" spans="1:31">
      <c r="A89" s="46"/>
      <c r="B89" s="46"/>
      <c r="C89" s="46"/>
      <c r="D89" s="46"/>
      <c r="E89" s="46"/>
      <c r="F89" s="46"/>
      <c r="G89" s="46"/>
      <c r="H89" s="46"/>
      <c r="I89" s="46"/>
      <c r="J89" s="46"/>
      <c r="U89" s="46"/>
      <c r="W89" s="23"/>
      <c r="X89" s="23"/>
      <c r="Y89" s="46"/>
      <c r="AE89" s="302"/>
    </row>
    <row r="90" spans="1:31">
      <c r="A90" s="46"/>
      <c r="B90" s="46"/>
      <c r="C90" s="46"/>
      <c r="D90" s="46"/>
      <c r="E90" s="46"/>
      <c r="F90" s="46"/>
      <c r="G90" s="46"/>
      <c r="H90" s="46"/>
      <c r="I90" s="46"/>
      <c r="J90" s="46"/>
      <c r="U90" s="46"/>
      <c r="W90" s="23"/>
      <c r="X90" s="23"/>
      <c r="Y90" s="46"/>
      <c r="AE90" s="302"/>
    </row>
    <row r="91" spans="1:31">
      <c r="A91" s="46"/>
      <c r="B91" s="46"/>
      <c r="C91" s="46"/>
      <c r="D91" s="46"/>
      <c r="E91" s="46"/>
      <c r="F91" s="46"/>
      <c r="G91" s="46"/>
      <c r="H91" s="46"/>
      <c r="I91" s="46"/>
      <c r="J91" s="46"/>
      <c r="U91" s="46"/>
      <c r="W91" s="23"/>
      <c r="X91" s="23"/>
      <c r="Y91" s="46"/>
      <c r="AE91" s="302"/>
    </row>
    <row r="92" spans="1:31">
      <c r="A92" s="46"/>
      <c r="B92" s="46"/>
      <c r="C92" s="46"/>
      <c r="D92" s="46"/>
      <c r="E92" s="46"/>
      <c r="F92" s="46"/>
      <c r="G92" s="46"/>
      <c r="H92" s="46"/>
      <c r="I92" s="46"/>
      <c r="J92" s="46"/>
      <c r="U92" s="46"/>
      <c r="W92" s="23"/>
      <c r="X92" s="23"/>
      <c r="Y92" s="46"/>
      <c r="AE92" s="302"/>
    </row>
    <row r="93" spans="1:31">
      <c r="A93" s="46"/>
      <c r="B93" s="46"/>
      <c r="C93" s="46"/>
      <c r="D93" s="46"/>
      <c r="E93" s="46"/>
      <c r="F93" s="46"/>
      <c r="G93" s="46"/>
      <c r="H93" s="46"/>
      <c r="I93" s="46"/>
      <c r="J93" s="46"/>
      <c r="U93" s="46"/>
      <c r="W93" s="23"/>
      <c r="X93" s="23"/>
      <c r="Y93" s="46"/>
      <c r="AE93" s="302"/>
    </row>
    <row r="94" spans="1:31">
      <c r="A94" s="46"/>
      <c r="B94" s="46"/>
      <c r="C94" s="46"/>
      <c r="D94" s="46"/>
      <c r="E94" s="46"/>
      <c r="F94" s="46"/>
      <c r="G94" s="46"/>
      <c r="H94" s="46"/>
      <c r="I94" s="46"/>
      <c r="J94" s="46"/>
      <c r="U94" s="46"/>
      <c r="W94" s="23"/>
      <c r="X94" s="23"/>
      <c r="Y94" s="46"/>
      <c r="AE94" s="302"/>
    </row>
    <row r="95" spans="1:31">
      <c r="A95" s="46"/>
      <c r="B95" s="46"/>
      <c r="C95" s="46"/>
      <c r="D95" s="46"/>
      <c r="E95" s="46"/>
      <c r="F95" s="46"/>
      <c r="G95" s="46"/>
      <c r="H95" s="46"/>
      <c r="I95" s="46"/>
      <c r="J95" s="46"/>
      <c r="U95" s="46"/>
      <c r="W95" s="23"/>
      <c r="X95" s="23"/>
      <c r="Y95" s="46"/>
      <c r="AE95" s="302"/>
    </row>
    <row r="96" spans="1:31">
      <c r="A96" s="46"/>
      <c r="B96" s="46"/>
      <c r="C96" s="46"/>
      <c r="D96" s="46"/>
      <c r="E96" s="46"/>
      <c r="F96" s="46"/>
      <c r="G96" s="46"/>
      <c r="H96" s="46"/>
      <c r="I96" s="46"/>
      <c r="J96" s="46"/>
      <c r="U96" s="46"/>
      <c r="W96" s="23"/>
      <c r="X96" s="23"/>
      <c r="Y96" s="46"/>
      <c r="AE96" s="302"/>
    </row>
    <row r="97" spans="1:31">
      <c r="A97" s="46"/>
      <c r="B97" s="46"/>
      <c r="C97" s="46"/>
      <c r="D97" s="46"/>
      <c r="E97" s="46"/>
      <c r="F97" s="46"/>
      <c r="G97" s="46"/>
      <c r="H97" s="46"/>
      <c r="I97" s="46"/>
      <c r="J97" s="46"/>
      <c r="U97" s="46"/>
      <c r="W97" s="23"/>
      <c r="X97" s="23"/>
      <c r="Y97" s="46"/>
      <c r="AE97" s="302"/>
    </row>
    <row r="98" spans="1:31">
      <c r="A98" s="46"/>
      <c r="B98" s="46"/>
      <c r="C98" s="46"/>
      <c r="D98" s="46"/>
      <c r="E98" s="46"/>
      <c r="F98" s="46"/>
      <c r="G98" s="46"/>
      <c r="H98" s="46"/>
      <c r="I98" s="46"/>
      <c r="J98" s="46"/>
      <c r="U98" s="46"/>
      <c r="W98" s="23"/>
      <c r="X98" s="23"/>
      <c r="Y98" s="46"/>
      <c r="AE98" s="302"/>
    </row>
    <row r="99" spans="1:31">
      <c r="A99" s="46"/>
      <c r="G99" s="303"/>
      <c r="H99" s="303"/>
      <c r="I99" s="303"/>
      <c r="U99" s="46"/>
      <c r="W99" s="23"/>
      <c r="X99" s="23"/>
      <c r="Y99" s="46"/>
      <c r="AE99" s="302"/>
    </row>
    <row r="100" spans="1:31">
      <c r="A100" s="46"/>
      <c r="G100" s="303"/>
      <c r="H100" s="303"/>
      <c r="I100" s="303"/>
      <c r="U100" s="46"/>
      <c r="W100" s="23"/>
      <c r="X100" s="23"/>
      <c r="Y100" s="46"/>
      <c r="AE100" s="302"/>
    </row>
    <row r="101" spans="1:31">
      <c r="A101" s="46"/>
      <c r="G101" s="303"/>
      <c r="H101" s="303"/>
      <c r="I101" s="303"/>
      <c r="U101" s="46"/>
      <c r="W101" s="23"/>
      <c r="X101" s="23"/>
      <c r="Y101" s="46"/>
      <c r="AE101" s="302"/>
    </row>
    <row r="102" spans="1:31">
      <c r="A102" s="46"/>
      <c r="G102" s="303"/>
      <c r="H102" s="303"/>
      <c r="I102" s="303"/>
      <c r="U102" s="46"/>
      <c r="W102" s="23"/>
      <c r="X102" s="23"/>
      <c r="Y102" s="46"/>
      <c r="AE102" s="302"/>
    </row>
    <row r="103" spans="1:31">
      <c r="A103" s="46"/>
      <c r="G103" s="303"/>
      <c r="H103" s="303"/>
      <c r="I103" s="303"/>
      <c r="U103" s="46"/>
      <c r="W103" s="23"/>
      <c r="X103" s="23"/>
      <c r="Y103" s="46"/>
      <c r="AE103" s="302"/>
    </row>
    <row r="104" spans="1:31">
      <c r="A104" s="46"/>
      <c r="G104" s="303"/>
      <c r="H104" s="99"/>
      <c r="I104" s="99"/>
      <c r="U104" s="46"/>
      <c r="W104" s="23"/>
      <c r="X104" s="23"/>
      <c r="Y104" s="46"/>
      <c r="AE104" s="302"/>
    </row>
    <row r="105" spans="1:31">
      <c r="A105" s="46"/>
      <c r="G105" s="303"/>
      <c r="H105" s="303"/>
      <c r="I105" s="303"/>
      <c r="U105" s="46"/>
      <c r="W105" s="23"/>
      <c r="X105" s="23"/>
      <c r="Y105" s="46"/>
      <c r="AE105" s="302"/>
    </row>
    <row r="106" spans="1:31">
      <c r="A106" s="46"/>
      <c r="E106" s="303"/>
      <c r="F106" s="303"/>
      <c r="G106" s="303"/>
      <c r="H106" s="303"/>
      <c r="I106" s="303"/>
      <c r="U106" s="46"/>
      <c r="W106" s="23"/>
      <c r="X106" s="23"/>
      <c r="Y106" s="46"/>
      <c r="AE106" s="302"/>
    </row>
    <row r="107" spans="1:31">
      <c r="A107" s="46"/>
      <c r="E107" s="303"/>
      <c r="F107" s="303"/>
      <c r="G107" s="303"/>
      <c r="H107" s="303"/>
      <c r="I107" s="303"/>
      <c r="U107" s="46"/>
      <c r="W107" s="23"/>
      <c r="X107" s="23"/>
      <c r="Y107" s="46"/>
      <c r="AE107" s="302"/>
    </row>
    <row r="108" spans="1:31">
      <c r="A108" s="46"/>
      <c r="U108" s="46"/>
      <c r="W108" s="23"/>
      <c r="X108" s="23"/>
      <c r="Y108" s="46"/>
      <c r="AE108" s="302"/>
    </row>
    <row r="109" spans="1:31">
      <c r="A109" s="46"/>
      <c r="U109" s="46"/>
      <c r="W109" s="23"/>
      <c r="X109" s="23"/>
      <c r="Y109" s="46"/>
      <c r="AE109" s="302"/>
    </row>
    <row r="110" spans="1:31">
      <c r="A110" s="46"/>
      <c r="U110" s="46"/>
      <c r="W110" s="23"/>
      <c r="X110" s="23"/>
      <c r="Y110" s="46"/>
      <c r="AE110" s="302"/>
    </row>
    <row r="111" spans="1:31">
      <c r="A111" s="46"/>
      <c r="U111" s="46"/>
      <c r="W111" s="23"/>
      <c r="X111" s="23"/>
      <c r="Y111" s="46"/>
      <c r="AE111" s="302"/>
    </row>
    <row r="112" spans="1:31">
      <c r="A112" s="46"/>
      <c r="U112" s="46"/>
      <c r="W112" s="23"/>
      <c r="X112" s="23"/>
      <c r="Y112" s="46"/>
      <c r="AE112" s="302"/>
    </row>
    <row r="113" spans="1:31">
      <c r="A113" s="46"/>
      <c r="U113" s="46"/>
      <c r="W113" s="23"/>
      <c r="X113" s="23"/>
      <c r="Y113" s="46"/>
      <c r="AE113" s="302"/>
    </row>
    <row r="114" spans="1:31">
      <c r="A114" s="46"/>
      <c r="U114" s="46"/>
      <c r="W114" s="23"/>
      <c r="X114" s="23"/>
      <c r="Y114" s="46"/>
      <c r="AE114" s="302"/>
    </row>
    <row r="115" spans="1:31">
      <c r="A115" s="46"/>
      <c r="U115" s="46"/>
      <c r="W115" s="23"/>
      <c r="X115" s="23"/>
      <c r="Y115" s="46"/>
      <c r="AE115" s="302"/>
    </row>
    <row r="116" spans="1:31">
      <c r="A116" s="46"/>
      <c r="U116" s="46"/>
      <c r="W116" s="23"/>
      <c r="X116" s="23"/>
      <c r="Y116" s="46"/>
      <c r="AE116" s="302"/>
    </row>
    <row r="117" spans="1:31">
      <c r="A117" s="46"/>
      <c r="U117" s="46"/>
      <c r="W117" s="23"/>
      <c r="X117" s="23"/>
      <c r="Y117" s="46"/>
      <c r="AE117" s="302"/>
    </row>
    <row r="118" spans="1:31">
      <c r="A118" s="46"/>
      <c r="U118" s="46"/>
      <c r="W118" s="23"/>
      <c r="X118" s="23"/>
      <c r="Y118" s="46"/>
      <c r="AE118" s="302"/>
    </row>
    <row r="119" spans="1:31">
      <c r="A119" s="46"/>
      <c r="U119" s="46"/>
      <c r="W119" s="23"/>
      <c r="X119" s="23"/>
      <c r="Y119" s="46"/>
      <c r="AE119" s="302"/>
    </row>
    <row r="120" spans="1:31">
      <c r="A120" s="46"/>
      <c r="U120" s="46"/>
      <c r="W120" s="23"/>
      <c r="X120" s="23"/>
      <c r="Y120" s="46"/>
      <c r="AE120" s="302"/>
    </row>
    <row r="121" spans="1:31">
      <c r="A121" s="46"/>
      <c r="U121" s="46"/>
      <c r="W121" s="23"/>
      <c r="X121" s="23"/>
      <c r="Y121" s="46"/>
      <c r="AE121" s="302"/>
    </row>
    <row r="122" spans="1:31">
      <c r="A122" s="46"/>
      <c r="U122" s="46"/>
      <c r="W122" s="23"/>
      <c r="X122" s="23"/>
      <c r="Y122" s="46"/>
      <c r="AE122" s="302"/>
    </row>
    <row r="123" spans="1:31">
      <c r="A123" s="46"/>
      <c r="U123" s="46"/>
      <c r="W123" s="23"/>
      <c r="X123" s="23"/>
      <c r="Y123" s="46"/>
      <c r="AE123" s="302"/>
    </row>
    <row r="124" spans="1:31">
      <c r="A124" s="46"/>
      <c r="U124" s="46"/>
      <c r="W124" s="23"/>
      <c r="X124" s="23"/>
      <c r="Y124" s="46"/>
      <c r="AE124" s="302"/>
    </row>
    <row r="125" spans="1:31">
      <c r="A125" s="46"/>
      <c r="U125" s="46"/>
      <c r="W125" s="23"/>
      <c r="X125" s="23"/>
      <c r="Y125" s="46"/>
      <c r="AE125" s="302"/>
    </row>
    <row r="126" spans="1:31">
      <c r="A126" s="46"/>
      <c r="U126" s="46"/>
      <c r="W126" s="23"/>
      <c r="X126" s="23"/>
      <c r="Y126" s="46"/>
      <c r="AE126" s="302"/>
    </row>
    <row r="127" spans="1:31">
      <c r="A127" s="46"/>
      <c r="U127" s="46"/>
      <c r="W127" s="23"/>
      <c r="X127" s="23"/>
      <c r="Y127" s="46"/>
      <c r="AE127" s="302"/>
    </row>
    <row r="128" spans="1:31">
      <c r="A128" s="46"/>
      <c r="U128" s="46"/>
      <c r="W128" s="23"/>
      <c r="X128" s="23"/>
      <c r="Y128" s="46"/>
      <c r="AE128" s="302"/>
    </row>
    <row r="129" spans="1:31">
      <c r="A129" s="46"/>
      <c r="U129" s="46"/>
      <c r="W129" s="23"/>
      <c r="X129" s="23"/>
      <c r="Y129" s="46"/>
      <c r="AE129" s="302"/>
    </row>
    <row r="130" spans="1:31">
      <c r="A130" s="46"/>
      <c r="U130" s="46"/>
      <c r="W130" s="23"/>
      <c r="X130" s="23"/>
      <c r="Y130" s="46"/>
      <c r="AE130" s="302"/>
    </row>
    <row r="131" spans="1:31">
      <c r="A131" s="46"/>
      <c r="U131" s="46"/>
      <c r="W131" s="23"/>
      <c r="X131" s="23"/>
      <c r="Y131" s="46"/>
      <c r="AE131" s="302"/>
    </row>
    <row r="132" spans="1:31">
      <c r="A132" s="46"/>
      <c r="U132" s="46"/>
      <c r="W132" s="23"/>
      <c r="X132" s="23"/>
      <c r="Y132" s="46"/>
      <c r="AE132" s="302"/>
    </row>
    <row r="133" spans="1:31">
      <c r="A133" s="46"/>
      <c r="U133" s="46"/>
      <c r="W133" s="23"/>
      <c r="X133" s="23"/>
      <c r="Y133" s="46"/>
      <c r="AE133" s="302"/>
    </row>
    <row r="134" spans="1:31">
      <c r="A134" s="46"/>
      <c r="U134" s="46"/>
      <c r="W134" s="23"/>
      <c r="X134" s="23"/>
      <c r="Y134" s="46"/>
      <c r="AE134" s="302"/>
    </row>
    <row r="135" spans="1:31">
      <c r="A135" s="46"/>
      <c r="U135" s="46"/>
      <c r="W135" s="23"/>
      <c r="X135" s="23"/>
      <c r="Y135" s="46"/>
      <c r="AE135" s="302"/>
    </row>
    <row r="136" spans="1:31">
      <c r="A136" s="46"/>
      <c r="U136" s="46"/>
      <c r="W136" s="23"/>
      <c r="X136" s="23"/>
      <c r="Y136" s="46"/>
      <c r="AE136" s="302"/>
    </row>
    <row r="137" spans="1:31">
      <c r="A137" s="46"/>
      <c r="U137" s="46"/>
      <c r="W137" s="23"/>
      <c r="X137" s="23"/>
      <c r="Y137" s="46"/>
      <c r="AE137" s="302"/>
    </row>
    <row r="138" spans="1:31">
      <c r="A138" s="46"/>
      <c r="U138" s="46"/>
      <c r="W138" s="23"/>
      <c r="X138" s="23"/>
      <c r="Y138" s="46"/>
      <c r="AE138" s="302"/>
    </row>
    <row r="139" spans="1:31">
      <c r="A139" s="46"/>
      <c r="U139" s="46"/>
      <c r="W139" s="23"/>
      <c r="X139" s="23"/>
      <c r="Y139" s="46"/>
      <c r="AE139" s="302"/>
    </row>
    <row r="140" spans="1:31">
      <c r="A140" s="46"/>
      <c r="U140" s="46"/>
      <c r="W140" s="23"/>
      <c r="X140" s="23"/>
      <c r="Y140" s="46"/>
      <c r="AE140" s="302"/>
    </row>
    <row r="141" spans="1:31">
      <c r="A141" s="46"/>
      <c r="U141" s="46"/>
      <c r="W141" s="23"/>
      <c r="X141" s="23"/>
      <c r="Y141" s="46"/>
      <c r="AE141" s="302"/>
    </row>
    <row r="142" spans="1:31">
      <c r="A142" s="46"/>
      <c r="U142" s="46"/>
      <c r="W142" s="23"/>
      <c r="X142" s="23"/>
      <c r="Y142" s="46"/>
      <c r="AE142" s="302"/>
    </row>
    <row r="143" spans="1:31">
      <c r="A143" s="46"/>
      <c r="U143" s="46"/>
      <c r="W143" s="23"/>
      <c r="X143" s="23"/>
      <c r="Y143" s="46"/>
      <c r="AE143" s="302"/>
    </row>
    <row r="144" spans="1:31">
      <c r="A144" s="46"/>
      <c r="U144" s="46"/>
      <c r="W144" s="23"/>
      <c r="X144" s="23"/>
      <c r="Y144" s="46"/>
      <c r="AE144" s="302"/>
    </row>
    <row r="145" spans="1:31">
      <c r="A145" s="46"/>
      <c r="U145" s="46"/>
      <c r="W145" s="23"/>
      <c r="X145" s="23"/>
      <c r="Y145" s="46"/>
      <c r="AE145" s="302"/>
    </row>
    <row r="146" spans="1:31">
      <c r="A146" s="46"/>
      <c r="U146" s="46"/>
      <c r="W146" s="23"/>
      <c r="X146" s="23"/>
      <c r="Y146" s="46"/>
      <c r="AE146" s="302"/>
    </row>
    <row r="147" spans="1:31">
      <c r="A147" s="46"/>
      <c r="U147" s="46"/>
      <c r="W147" s="23"/>
      <c r="X147" s="23"/>
      <c r="Y147" s="46"/>
      <c r="AE147" s="302"/>
    </row>
    <row r="148" spans="1:31">
      <c r="A148" s="46"/>
      <c r="U148" s="46"/>
      <c r="W148" s="23"/>
      <c r="X148" s="23"/>
      <c r="Y148" s="46"/>
      <c r="AE148" s="302"/>
    </row>
    <row r="149" spans="1:31">
      <c r="A149" s="46"/>
      <c r="U149" s="46"/>
      <c r="W149" s="23"/>
      <c r="X149" s="23"/>
      <c r="Y149" s="46"/>
      <c r="AE149" s="302"/>
    </row>
    <row r="150" spans="1:31">
      <c r="A150" s="46"/>
      <c r="U150" s="46"/>
      <c r="W150" s="23"/>
      <c r="X150" s="23"/>
      <c r="Y150" s="46"/>
      <c r="AE150" s="302"/>
    </row>
    <row r="151" spans="1:31">
      <c r="A151" s="46"/>
      <c r="U151" s="46"/>
      <c r="W151" s="23"/>
      <c r="X151" s="23"/>
      <c r="Y151" s="46"/>
      <c r="AE151" s="302"/>
    </row>
    <row r="152" spans="1:31">
      <c r="A152" s="46"/>
      <c r="U152" s="46"/>
      <c r="W152" s="23"/>
      <c r="X152" s="23"/>
      <c r="Y152" s="46"/>
      <c r="AE152" s="302"/>
    </row>
    <row r="153" spans="1:31">
      <c r="A153" s="46"/>
      <c r="U153" s="46"/>
      <c r="W153" s="23"/>
      <c r="X153" s="23"/>
      <c r="Y153" s="46"/>
      <c r="AE153" s="302"/>
    </row>
    <row r="154" spans="1:31">
      <c r="A154" s="46"/>
      <c r="U154" s="46"/>
      <c r="W154" s="23"/>
      <c r="X154" s="23"/>
      <c r="Y154" s="46"/>
      <c r="AE154" s="302"/>
    </row>
    <row r="155" spans="1:31">
      <c r="A155" s="46"/>
      <c r="U155" s="46"/>
      <c r="W155" s="23"/>
      <c r="X155" s="23"/>
      <c r="Y155" s="46"/>
      <c r="AE155" s="302"/>
    </row>
    <row r="156" spans="1:31">
      <c r="A156" s="46"/>
      <c r="U156" s="46"/>
      <c r="W156" s="23"/>
      <c r="X156" s="23"/>
      <c r="Y156" s="46"/>
      <c r="AE156" s="302"/>
    </row>
    <row r="157" spans="1:31">
      <c r="A157" s="46"/>
    </row>
    <row r="158" spans="1:31">
      <c r="A158" s="46"/>
    </row>
    <row r="159" spans="1:31">
      <c r="A159" s="46"/>
    </row>
    <row r="160" spans="1:31">
      <c r="A160" s="46"/>
    </row>
    <row r="161" spans="1:1">
      <c r="A161" s="46"/>
    </row>
    <row r="162" spans="1:1">
      <c r="A162" s="46"/>
    </row>
    <row r="163" spans="1:1">
      <c r="A163" s="46"/>
    </row>
    <row r="164" spans="1:1">
      <c r="A164" s="46"/>
    </row>
    <row r="165" spans="1:1">
      <c r="A165" s="46"/>
    </row>
    <row r="166" spans="1:1">
      <c r="A166" s="46"/>
    </row>
    <row r="167" spans="1:1">
      <c r="A167" s="46"/>
    </row>
  </sheetData>
  <conditionalFormatting sqref="AH16:AH23">
    <cfRule type="dataBar" priority="1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{709B0C67-52DA-40B7-8555-E7FF15087B92}</x14:id>
        </ext>
      </extLst>
    </cfRule>
  </conditionalFormatting>
  <pageMargins left="0.7" right="0.7" top="0.75" bottom="0.75" header="0.3" footer="0.3"/>
  <pageSetup paperSize="9" orientation="portrait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09B0C67-52DA-40B7-8555-E7FF15087B92}">
            <x14:dataBar minLength="0" maxLength="100" border="1" negativeBarBorderColorSameAsPositive="0">
              <x14:cfvo type="autoMin"/>
              <x14:cfvo type="autoMax"/>
              <x14:borderColor rgb="FFD6007B"/>
              <x14:negativeFillColor rgb="FFFF0000"/>
              <x14:negativeBorderColor rgb="FFFF0000"/>
              <x14:axisColor rgb="FF000000"/>
            </x14:dataBar>
          </x14:cfRule>
          <xm:sqref>AH16:AH23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X48"/>
  <sheetViews>
    <sheetView workbookViewId="0">
      <pane xSplit="3" topLeftCell="D1" activePane="topRight" state="frozen"/>
      <selection activeCell="L19" sqref="L19"/>
      <selection pane="topRight" activeCell="E11" sqref="E11"/>
    </sheetView>
  </sheetViews>
  <sheetFormatPr defaultColWidth="10.6640625" defaultRowHeight="14.4"/>
  <cols>
    <col min="1" max="1" width="20.6640625" customWidth="1"/>
    <col min="2" max="2" width="55.6640625" customWidth="1"/>
    <col min="3" max="3" width="11.88671875" customWidth="1"/>
    <col min="4" max="4" width="9.44140625" customWidth="1"/>
    <col min="10" max="10" width="11.44140625" bestFit="1" customWidth="1"/>
    <col min="13" max="13" width="10.6640625" style="369"/>
    <col min="24" max="24" width="26.44140625" style="301" customWidth="1"/>
  </cols>
  <sheetData>
    <row r="1" spans="1:24">
      <c r="A1" s="100" t="s">
        <v>107</v>
      </c>
      <c r="B1" s="101"/>
      <c r="C1" s="102"/>
      <c r="D1" s="102"/>
      <c r="E1" s="102"/>
      <c r="F1" s="102"/>
      <c r="G1" s="102"/>
      <c r="H1" s="102"/>
      <c r="I1" s="102"/>
      <c r="J1" s="103"/>
      <c r="K1" s="103"/>
      <c r="L1" s="103"/>
      <c r="M1" s="103"/>
      <c r="N1" s="102"/>
      <c r="O1" s="102"/>
      <c r="P1" s="102"/>
      <c r="Q1" s="102"/>
      <c r="R1" s="102"/>
      <c r="S1" s="102"/>
      <c r="T1" s="102"/>
      <c r="U1" s="102"/>
      <c r="X1" s="103"/>
    </row>
    <row r="2" spans="1:24">
      <c r="A2" s="104" t="s">
        <v>100</v>
      </c>
      <c r="B2" s="105" t="s">
        <v>101</v>
      </c>
      <c r="C2" s="102"/>
      <c r="D2" s="102"/>
      <c r="E2" s="102"/>
      <c r="F2" s="102"/>
      <c r="G2" s="102"/>
      <c r="H2" s="102"/>
      <c r="I2" s="102"/>
      <c r="J2" s="103"/>
      <c r="K2" s="103"/>
      <c r="L2" s="103"/>
      <c r="M2" s="103"/>
      <c r="N2" s="102"/>
      <c r="O2" s="102"/>
      <c r="P2" s="102"/>
      <c r="Q2" s="102"/>
      <c r="R2" s="102"/>
      <c r="S2" s="102"/>
      <c r="T2" s="102"/>
      <c r="U2" s="102"/>
      <c r="X2" s="103"/>
    </row>
    <row r="3" spans="1:24">
      <c r="A3" s="104" t="s">
        <v>102</v>
      </c>
      <c r="B3" s="105" t="s">
        <v>103</v>
      </c>
      <c r="C3" s="102"/>
      <c r="D3" s="102"/>
      <c r="E3" s="102"/>
      <c r="F3" s="102"/>
      <c r="G3" s="102"/>
      <c r="H3" s="102"/>
      <c r="I3" s="102"/>
      <c r="J3" s="103"/>
      <c r="K3" s="103"/>
      <c r="L3" s="103"/>
      <c r="M3" s="103"/>
      <c r="N3" s="102"/>
      <c r="O3" s="102"/>
      <c r="P3" s="102"/>
      <c r="Q3" s="102"/>
      <c r="R3" s="102"/>
      <c r="S3" s="102"/>
      <c r="T3" s="102"/>
      <c r="U3" s="102"/>
      <c r="X3" s="103"/>
    </row>
    <row r="4" spans="1:24">
      <c r="A4" s="104" t="s">
        <v>105</v>
      </c>
      <c r="B4" s="105" t="s">
        <v>106</v>
      </c>
      <c r="C4" s="102"/>
      <c r="D4" s="102"/>
      <c r="E4" s="102"/>
      <c r="F4" s="102"/>
      <c r="G4" s="102"/>
      <c r="H4" s="102"/>
      <c r="I4" s="102"/>
      <c r="J4" s="103"/>
      <c r="K4" s="103"/>
      <c r="L4" s="103"/>
      <c r="M4" s="103"/>
      <c r="N4" s="102"/>
      <c r="O4" s="102"/>
      <c r="P4" s="102"/>
      <c r="Q4" s="102"/>
      <c r="R4" s="102"/>
      <c r="S4" s="102"/>
      <c r="T4" s="102"/>
      <c r="U4" s="102"/>
      <c r="X4" s="103"/>
    </row>
    <row r="5" spans="1:24">
      <c r="A5" s="104" t="s">
        <v>108</v>
      </c>
      <c r="B5" s="105" t="s">
        <v>109</v>
      </c>
      <c r="C5" s="102"/>
      <c r="D5" s="102"/>
      <c r="E5" s="102"/>
      <c r="F5" s="102"/>
      <c r="G5" s="102"/>
      <c r="H5" s="102"/>
      <c r="I5" s="102"/>
      <c r="J5" s="103"/>
      <c r="K5" s="103"/>
      <c r="L5" s="103"/>
      <c r="M5" s="103"/>
      <c r="N5" s="102"/>
      <c r="O5" s="102"/>
      <c r="P5" s="102"/>
      <c r="Q5" s="102"/>
      <c r="R5" s="102"/>
      <c r="S5" s="102"/>
      <c r="T5" s="102"/>
      <c r="U5" s="102"/>
      <c r="X5" s="103"/>
    </row>
    <row r="6" spans="1:24">
      <c r="A6" s="104" t="s">
        <v>110</v>
      </c>
      <c r="B6" s="105" t="s">
        <v>111</v>
      </c>
      <c r="C6" s="102"/>
      <c r="D6" s="102"/>
      <c r="E6" s="102"/>
      <c r="F6" s="102"/>
      <c r="G6" s="102"/>
      <c r="H6" s="102"/>
      <c r="I6" s="102"/>
      <c r="J6" s="103"/>
      <c r="K6" s="103"/>
      <c r="L6" s="103"/>
      <c r="M6" s="103"/>
      <c r="N6" s="102"/>
      <c r="O6" s="102"/>
      <c r="P6" s="102"/>
      <c r="Q6" s="102"/>
      <c r="R6" s="102"/>
      <c r="S6" s="102"/>
      <c r="V6" s="102"/>
      <c r="X6"/>
    </row>
    <row r="7" spans="1:24">
      <c r="A7" s="104" t="s">
        <v>113</v>
      </c>
      <c r="B7" s="105" t="s">
        <v>114</v>
      </c>
      <c r="C7" s="102"/>
      <c r="D7" s="102"/>
      <c r="E7" s="102"/>
      <c r="F7" s="102"/>
      <c r="G7" s="102"/>
      <c r="H7" s="102"/>
      <c r="I7" s="102"/>
      <c r="J7" s="103"/>
      <c r="K7" s="103"/>
      <c r="L7" s="103"/>
      <c r="M7" s="103"/>
      <c r="N7" s="102"/>
      <c r="O7" s="102"/>
      <c r="P7" s="102"/>
      <c r="Q7" s="102"/>
      <c r="R7" s="102"/>
      <c r="U7" s="102"/>
      <c r="X7"/>
    </row>
    <row r="8" spans="1:24">
      <c r="A8" s="104" t="s">
        <v>115</v>
      </c>
      <c r="B8" s="105" t="s">
        <v>116</v>
      </c>
      <c r="C8" s="102"/>
      <c r="D8" s="102"/>
      <c r="E8" s="102"/>
      <c r="F8" s="102"/>
      <c r="G8" s="102"/>
      <c r="H8" s="102"/>
      <c r="I8" s="102"/>
      <c r="J8" s="103"/>
      <c r="K8" s="103"/>
      <c r="L8" s="103"/>
      <c r="M8" s="103"/>
      <c r="N8" s="102"/>
      <c r="P8" s="102"/>
      <c r="X8"/>
    </row>
    <row r="9" spans="1:24">
      <c r="A9" s="106" t="s">
        <v>118</v>
      </c>
      <c r="B9" s="107" t="s">
        <v>119</v>
      </c>
      <c r="C9" s="102"/>
      <c r="D9" s="102"/>
      <c r="E9" s="102"/>
      <c r="F9" s="102"/>
      <c r="G9" s="102"/>
      <c r="H9" s="102"/>
      <c r="I9" s="102"/>
      <c r="J9" s="103"/>
      <c r="K9" s="103"/>
      <c r="L9" s="103"/>
      <c r="M9" s="103"/>
      <c r="N9" s="102"/>
      <c r="P9" s="102"/>
      <c r="X9"/>
    </row>
    <row r="10" spans="1:24">
      <c r="A10" s="102"/>
      <c r="B10" s="102"/>
      <c r="C10" s="102"/>
      <c r="D10" s="102"/>
      <c r="E10" s="109" t="s">
        <v>0</v>
      </c>
      <c r="F10" s="102"/>
      <c r="G10" s="102"/>
      <c r="H10" s="102"/>
      <c r="I10" s="102"/>
      <c r="J10" s="103"/>
      <c r="K10" s="103"/>
      <c r="L10" s="103"/>
      <c r="M10" s="103"/>
      <c r="N10" s="102"/>
      <c r="P10" s="102"/>
      <c r="X10"/>
    </row>
    <row r="11" spans="1:24">
      <c r="J11" s="369"/>
      <c r="K11" s="369"/>
      <c r="L11" s="369"/>
    </row>
    <row r="12" spans="1:24" ht="27.75" customHeight="1">
      <c r="A12" s="110" t="s">
        <v>1</v>
      </c>
      <c r="B12" s="110" t="s">
        <v>2</v>
      </c>
      <c r="C12" s="110" t="s">
        <v>3</v>
      </c>
      <c r="D12" s="111" t="s">
        <v>4</v>
      </c>
      <c r="E12" s="110" t="s">
        <v>5</v>
      </c>
      <c r="F12" s="110" t="s">
        <v>6</v>
      </c>
      <c r="G12" s="110" t="s">
        <v>8</v>
      </c>
      <c r="H12" s="110" t="s">
        <v>11</v>
      </c>
      <c r="I12" s="110" t="s">
        <v>12</v>
      </c>
      <c r="J12" s="110" t="s">
        <v>13</v>
      </c>
      <c r="K12" s="110" t="s">
        <v>14</v>
      </c>
      <c r="L12" s="110" t="s">
        <v>15</v>
      </c>
      <c r="M12" s="110" t="s">
        <v>16</v>
      </c>
      <c r="N12" s="110" t="s">
        <v>28</v>
      </c>
      <c r="O12" s="46"/>
      <c r="P12" s="65" t="s">
        <v>17</v>
      </c>
      <c r="Q12" s="46"/>
      <c r="R12" s="46"/>
      <c r="S12" s="302"/>
      <c r="T12" s="302"/>
      <c r="U12" s="302"/>
      <c r="X12"/>
    </row>
    <row r="13" spans="1:24" s="43" customFormat="1" ht="110.25" hidden="1" customHeight="1">
      <c r="A13" s="338" t="s">
        <v>18</v>
      </c>
      <c r="B13" s="338"/>
      <c r="C13" s="338" t="s">
        <v>197</v>
      </c>
      <c r="D13" s="339" t="s">
        <v>198</v>
      </c>
      <c r="E13" s="338"/>
      <c r="F13" s="338" t="s">
        <v>194</v>
      </c>
      <c r="G13" s="338" t="s">
        <v>175</v>
      </c>
      <c r="H13" s="338" t="s">
        <v>190</v>
      </c>
      <c r="I13" s="338" t="s">
        <v>191</v>
      </c>
      <c r="J13" s="338" t="s">
        <v>192</v>
      </c>
      <c r="K13" s="338" t="s">
        <v>184</v>
      </c>
      <c r="L13" s="338" t="s">
        <v>186</v>
      </c>
      <c r="M13" s="338" t="s">
        <v>185</v>
      </c>
      <c r="N13" s="338" t="s">
        <v>188</v>
      </c>
      <c r="O13" s="58"/>
      <c r="P13" s="68" t="s">
        <v>187</v>
      </c>
      <c r="Q13" s="58"/>
      <c r="R13" s="58"/>
      <c r="S13" s="59"/>
      <c r="T13" s="59"/>
      <c r="U13" s="59"/>
    </row>
    <row r="14" spans="1:24" ht="15" thickBot="1">
      <c r="A14" s="113" t="s">
        <v>19</v>
      </c>
      <c r="B14" s="114"/>
      <c r="C14" s="114"/>
      <c r="D14" s="115"/>
      <c r="E14" s="114"/>
      <c r="F14" s="114"/>
      <c r="G14" s="114"/>
      <c r="H14" s="114" t="s">
        <v>21</v>
      </c>
      <c r="I14" s="114" t="s">
        <v>21</v>
      </c>
      <c r="J14" s="114" t="s">
        <v>22</v>
      </c>
      <c r="K14" s="114" t="s">
        <v>23</v>
      </c>
      <c r="L14" s="114" t="s">
        <v>23</v>
      </c>
      <c r="M14" s="114"/>
      <c r="N14" s="114" t="s">
        <v>24</v>
      </c>
      <c r="O14" s="329"/>
      <c r="P14" s="327" t="s">
        <v>24</v>
      </c>
      <c r="Q14" s="329"/>
      <c r="R14" s="329"/>
      <c r="S14" s="327" t="s">
        <v>213</v>
      </c>
      <c r="T14" s="327" t="s">
        <v>212</v>
      </c>
      <c r="U14" s="327" t="s">
        <v>211</v>
      </c>
      <c r="X14"/>
    </row>
    <row r="15" spans="1:24" s="301" customFormat="1">
      <c r="A15" s="116" t="s">
        <v>516</v>
      </c>
      <c r="B15" s="83" t="str">
        <f>ELC_CEN!B27</f>
        <v>04  Gas Turbine Single Cycle - Large Scale Plant centralised</v>
      </c>
      <c r="C15" s="372" t="s">
        <v>507</v>
      </c>
      <c r="D15" s="75" t="s">
        <v>26</v>
      </c>
      <c r="E15" s="372">
        <v>2015</v>
      </c>
      <c r="F15" s="372">
        <v>2015</v>
      </c>
      <c r="G15" s="156">
        <f>ELC_CEN!K27</f>
        <v>0.41</v>
      </c>
      <c r="H15" s="84">
        <f>ELC_CEN!T27</f>
        <v>4.47</v>
      </c>
      <c r="I15" s="84">
        <f>ELC_CEN!U27</f>
        <v>0.14899999999999999</v>
      </c>
      <c r="J15" s="84">
        <f>ELC_CEN!V27</f>
        <v>9.3125</v>
      </c>
      <c r="K15" s="396">
        <f>ELC_CEN!W27</f>
        <v>3.1536000000000002E-2</v>
      </c>
      <c r="L15" s="156">
        <f>ELC_CEN!X27</f>
        <v>0.9</v>
      </c>
      <c r="M15" s="78">
        <f>ELC_CEN!Y27</f>
        <v>1</v>
      </c>
      <c r="N15" s="403">
        <f>ELC_CEN!Z27</f>
        <v>25</v>
      </c>
      <c r="O15" s="46"/>
      <c r="P15" s="84">
        <f>ELC_CEN!AF27</f>
        <v>1.5</v>
      </c>
      <c r="Q15" s="46"/>
      <c r="R15" s="46"/>
      <c r="S15" s="405" t="str">
        <f>ELC_CEN!AJ27</f>
        <v>Tekkat2016</v>
      </c>
      <c r="T15" s="404">
        <f>ELC_CEN!AK27</f>
        <v>42817</v>
      </c>
      <c r="U15" s="405" t="str">
        <f>ELC_CEN!AL27</f>
        <v>ASHEG12</v>
      </c>
    </row>
    <row r="16" spans="1:24" s="301" customFormat="1">
      <c r="A16" s="116"/>
      <c r="B16" s="372"/>
      <c r="C16" s="372"/>
      <c r="D16" s="75"/>
      <c r="E16" s="372">
        <v>2020</v>
      </c>
      <c r="F16" s="372"/>
      <c r="G16" s="156">
        <f>ELC_CEN!K28</f>
        <v>0.42</v>
      </c>
      <c r="H16" s="84">
        <f>ELC_CEN!T28</f>
        <v>4.3955000000000002</v>
      </c>
      <c r="I16" s="84">
        <f>ELC_CEN!U28</f>
        <v>0.14527499999999999</v>
      </c>
      <c r="J16" s="84">
        <f>ELC_CEN!V28</f>
        <v>9.1055555555555561</v>
      </c>
      <c r="K16" s="78"/>
      <c r="L16" s="78"/>
      <c r="M16" s="78"/>
      <c r="N16" s="81"/>
      <c r="O16" s="46"/>
      <c r="P16" s="306"/>
      <c r="Q16" s="46"/>
      <c r="R16" s="46"/>
      <c r="S16" s="405" t="str">
        <f>ELC_CEN!AJ28</f>
        <v>Tekkat2016</v>
      </c>
      <c r="T16" s="404">
        <f>ELC_CEN!AK28</f>
        <v>42817</v>
      </c>
      <c r="U16" s="405" t="str">
        <f>ELC_CEN!AL28</f>
        <v>ASHEG12</v>
      </c>
    </row>
    <row r="17" spans="1:24" s="301" customFormat="1">
      <c r="A17" s="116"/>
      <c r="B17" s="372"/>
      <c r="C17" s="372"/>
      <c r="D17" s="75"/>
      <c r="E17" s="372">
        <v>2030</v>
      </c>
      <c r="F17" s="372"/>
      <c r="G17" s="156">
        <f>ELC_CEN!K29</f>
        <v>0.43</v>
      </c>
      <c r="H17" s="84">
        <f>ELC_CEN!T29</f>
        <v>4.1720000000000006</v>
      </c>
      <c r="I17" s="84">
        <f>ELC_CEN!U29</f>
        <v>0.13857</v>
      </c>
      <c r="J17" s="84">
        <f>ELC_CEN!V29</f>
        <v>8.6916666666666664</v>
      </c>
      <c r="K17" s="78"/>
      <c r="L17" s="78"/>
      <c r="M17" s="78"/>
      <c r="N17" s="81"/>
      <c r="O17" s="46"/>
      <c r="P17" s="306"/>
      <c r="Q17" s="46"/>
      <c r="R17" s="46"/>
      <c r="S17" s="405" t="str">
        <f>ELC_CEN!AJ29</f>
        <v>Tekkat2016</v>
      </c>
      <c r="T17" s="404">
        <f>ELC_CEN!AK29</f>
        <v>42817</v>
      </c>
      <c r="U17" s="405" t="str">
        <f>ELC_CEN!AL29</f>
        <v>ASHEG12</v>
      </c>
    </row>
    <row r="18" spans="1:24" s="301" customFormat="1">
      <c r="A18" s="116"/>
      <c r="B18" s="372"/>
      <c r="C18" s="372"/>
      <c r="D18" s="75"/>
      <c r="E18" s="372">
        <v>2050</v>
      </c>
      <c r="F18" s="372"/>
      <c r="G18" s="156">
        <f>ELC_CEN!K30</f>
        <v>0.45</v>
      </c>
      <c r="H18" s="84">
        <f>ELC_CEN!T30</f>
        <v>3.8740000000000001</v>
      </c>
      <c r="I18" s="84">
        <f>ELC_CEN!U30</f>
        <v>0.1341</v>
      </c>
      <c r="J18" s="84">
        <f>ELC_CEN!V30</f>
        <v>8.2777777777777786</v>
      </c>
      <c r="K18" s="78"/>
      <c r="L18" s="78"/>
      <c r="M18" s="78"/>
      <c r="N18" s="81"/>
      <c r="O18" s="46"/>
      <c r="P18" s="306"/>
      <c r="Q18" s="46"/>
      <c r="R18" s="46"/>
      <c r="S18" s="405" t="str">
        <f>ELC_CEN!AJ30</f>
        <v>Tekkat2016</v>
      </c>
      <c r="T18" s="404">
        <f>ELC_CEN!AK30</f>
        <v>42817</v>
      </c>
      <c r="U18" s="405" t="str">
        <f>ELC_CEN!AL30</f>
        <v>ASHEG12</v>
      </c>
    </row>
    <row r="19" spans="1:24" s="301" customFormat="1">
      <c r="A19" s="116" t="s">
        <v>518</v>
      </c>
      <c r="B19" s="83" t="str">
        <f>ELC_CEN!B31</f>
        <v>04  Gas Turbine Single Cycle - Medium Scale Plant centralised</v>
      </c>
      <c r="C19" s="372" t="s">
        <v>507</v>
      </c>
      <c r="D19" s="75" t="s">
        <v>26</v>
      </c>
      <c r="E19" s="372">
        <v>2015</v>
      </c>
      <c r="F19" s="372">
        <v>2015</v>
      </c>
      <c r="G19" s="156">
        <f>ELC_CEN!K31</f>
        <v>0.36</v>
      </c>
      <c r="H19" s="84">
        <f>ELC_CEN!T31</f>
        <v>5.5875000000000004</v>
      </c>
      <c r="I19" s="84">
        <f>ELC_CEN!U31</f>
        <v>0.14899999999999999</v>
      </c>
      <c r="J19" s="84">
        <f>ELC_CEN!V31</f>
        <v>11.381944444444445</v>
      </c>
      <c r="K19" s="396">
        <f>ELC_CEN!W31</f>
        <v>3.1536000000000002E-2</v>
      </c>
      <c r="L19" s="156">
        <f>ELC_CEN!X31</f>
        <v>0.9</v>
      </c>
      <c r="M19" s="78">
        <f>ELC_CEN!Y31</f>
        <v>1</v>
      </c>
      <c r="N19" s="403">
        <f>ELC_CEN!Z31</f>
        <v>25</v>
      </c>
      <c r="O19" s="46"/>
      <c r="P19" s="84">
        <f>ELC_CEN!AF31</f>
        <v>1.5</v>
      </c>
      <c r="Q19" s="46"/>
      <c r="R19" s="46"/>
      <c r="S19" s="405" t="str">
        <f>ELC_CEN!AJ31</f>
        <v>Tekkat2016</v>
      </c>
      <c r="T19" s="404">
        <f>ELC_CEN!AK31</f>
        <v>42817</v>
      </c>
      <c r="U19" s="405" t="str">
        <f>ELC_CEN!AL31</f>
        <v>ASHEG12</v>
      </c>
    </row>
    <row r="20" spans="1:24" s="301" customFormat="1">
      <c r="A20" s="116"/>
      <c r="B20" s="372"/>
      <c r="C20" s="372"/>
      <c r="D20" s="75"/>
      <c r="E20" s="372">
        <v>2020</v>
      </c>
      <c r="F20" s="372"/>
      <c r="G20" s="156">
        <f>ELC_CEN!K32</f>
        <v>0.37</v>
      </c>
      <c r="H20" s="84">
        <f>ELC_CEN!T32</f>
        <v>5.4385000000000003</v>
      </c>
      <c r="I20" s="84">
        <f>ELC_CEN!U32</f>
        <v>0.14527499999999999</v>
      </c>
      <c r="J20" s="84">
        <f>ELC_CEN!V32</f>
        <v>11.175000000000001</v>
      </c>
      <c r="K20" s="78"/>
      <c r="L20" s="78"/>
      <c r="M20" s="78"/>
      <c r="N20" s="81"/>
      <c r="O20" s="46"/>
      <c r="P20" s="306"/>
      <c r="Q20" s="46"/>
      <c r="R20" s="46"/>
      <c r="S20" s="405" t="str">
        <f>ELC_CEN!AJ32</f>
        <v>Tekkat2016</v>
      </c>
      <c r="T20" s="404">
        <f>ELC_CEN!AK32</f>
        <v>42817</v>
      </c>
      <c r="U20" s="405" t="str">
        <f>ELC_CEN!AL32</f>
        <v>ASHEG12</v>
      </c>
    </row>
    <row r="21" spans="1:24" s="301" customFormat="1">
      <c r="A21" s="116"/>
      <c r="B21" s="372"/>
      <c r="C21" s="372"/>
      <c r="D21" s="75"/>
      <c r="E21" s="372">
        <v>2030</v>
      </c>
      <c r="F21" s="372"/>
      <c r="G21" s="156">
        <f>ELC_CEN!K33</f>
        <v>0.39</v>
      </c>
      <c r="H21" s="84">
        <f>ELC_CEN!T33</f>
        <v>5.2149999999999999</v>
      </c>
      <c r="I21" s="84">
        <f>ELC_CEN!U33</f>
        <v>0.13857</v>
      </c>
      <c r="J21" s="84">
        <f>ELC_CEN!V33</f>
        <v>10.554166666666665</v>
      </c>
      <c r="K21" s="78"/>
      <c r="L21" s="78"/>
      <c r="M21" s="78"/>
      <c r="N21" s="81"/>
      <c r="O21" s="46"/>
      <c r="P21" s="306"/>
      <c r="Q21" s="46"/>
      <c r="R21" s="46"/>
      <c r="S21" s="405" t="str">
        <f>ELC_CEN!AJ33</f>
        <v>Tekkat2016</v>
      </c>
      <c r="T21" s="404">
        <f>ELC_CEN!AK33</f>
        <v>42817</v>
      </c>
      <c r="U21" s="405" t="str">
        <f>ELC_CEN!AL33</f>
        <v>ASHEG12</v>
      </c>
    </row>
    <row r="22" spans="1:24" s="301" customFormat="1">
      <c r="A22" s="116"/>
      <c r="B22" s="372"/>
      <c r="C22" s="372"/>
      <c r="D22" s="75"/>
      <c r="E22" s="372">
        <v>2050</v>
      </c>
      <c r="F22" s="372"/>
      <c r="G22" s="156">
        <f>ELC_CEN!K34</f>
        <v>0.4</v>
      </c>
      <c r="H22" s="84">
        <f>ELC_CEN!T34</f>
        <v>5.0660000000000007</v>
      </c>
      <c r="I22" s="84">
        <f>ELC_CEN!U34</f>
        <v>0.1341</v>
      </c>
      <c r="J22" s="84">
        <f>ELC_CEN!V34</f>
        <v>9.5194444444444439</v>
      </c>
      <c r="K22" s="78"/>
      <c r="L22" s="78"/>
      <c r="M22" s="78"/>
      <c r="N22" s="81"/>
      <c r="O22" s="46"/>
      <c r="P22" s="306"/>
      <c r="Q22" s="46"/>
      <c r="R22" s="46"/>
      <c r="S22" s="405" t="str">
        <f>ELC_CEN!AJ34</f>
        <v>Tekkat2016</v>
      </c>
      <c r="T22" s="404">
        <f>ELC_CEN!AK34</f>
        <v>42817</v>
      </c>
      <c r="U22" s="405" t="str">
        <f>ELC_CEN!AL34</f>
        <v>ASHEG12</v>
      </c>
    </row>
    <row r="23" spans="1:24">
      <c r="A23" s="303" t="s">
        <v>520</v>
      </c>
      <c r="B23" s="303" t="s">
        <v>521</v>
      </c>
      <c r="C23" s="303" t="s">
        <v>380</v>
      </c>
      <c r="D23" s="75" t="s">
        <v>26</v>
      </c>
      <c r="E23" s="116">
        <f>'ELC_CEN-Peak'!E24</f>
        <v>2015</v>
      </c>
      <c r="F23" s="116">
        <f>'ELC_CEN-Peak'!F24</f>
        <v>2015</v>
      </c>
      <c r="G23" s="118">
        <f>'ELC_CEN-Peak'!G24</f>
        <v>0.34</v>
      </c>
      <c r="H23" s="118">
        <f>'ELC_CEN-Peak'!H24</f>
        <v>18.625</v>
      </c>
      <c r="I23" s="118">
        <f>'ELC_CEN-Peak'!I24</f>
        <v>0</v>
      </c>
      <c r="J23" s="118">
        <f>'ELC_CEN-Peak'!J24</f>
        <v>14.486111111111111</v>
      </c>
      <c r="K23" s="118">
        <f>'ELC_CEN-Peak'!K24</f>
        <v>3.1536000000000002E-2</v>
      </c>
      <c r="L23" s="118">
        <f>'ELC_CEN-Peak'!L24</f>
        <v>0.9</v>
      </c>
      <c r="M23" s="118">
        <f>'ELC_CEN-Peak'!M24</f>
        <v>1</v>
      </c>
      <c r="N23" s="119">
        <f>'ELC_CEN-Peak'!N24</f>
        <v>25</v>
      </c>
      <c r="X23"/>
    </row>
    <row r="24" spans="1:24">
      <c r="A24" s="303"/>
      <c r="B24" s="303"/>
      <c r="C24" s="303"/>
      <c r="D24" s="75"/>
      <c r="E24" s="116">
        <f>'ELC_CEN-Peak'!E25</f>
        <v>2020</v>
      </c>
      <c r="F24" s="116"/>
      <c r="G24" s="118">
        <f>'ELC_CEN-Peak'!G25</f>
        <v>0.35</v>
      </c>
      <c r="H24" s="118">
        <f>'ELC_CEN-Peak'!H25</f>
        <v>15.645000000000001</v>
      </c>
      <c r="I24" s="118">
        <f>'ELC_CEN-Peak'!I25</f>
        <v>0</v>
      </c>
      <c r="J24" s="118">
        <f>'ELC_CEN-Peak'!J25</f>
        <v>14.486111111111111</v>
      </c>
      <c r="K24" s="118"/>
      <c r="L24" s="118"/>
      <c r="M24" s="118"/>
      <c r="N24" s="119"/>
      <c r="P24" s="301"/>
      <c r="X24"/>
    </row>
    <row r="25" spans="1:24">
      <c r="A25" s="303"/>
      <c r="B25" s="303"/>
      <c r="C25" s="303"/>
      <c r="D25" s="75"/>
      <c r="E25" s="116">
        <f>'ELC_CEN-Peak'!E26</f>
        <v>2030</v>
      </c>
      <c r="F25" s="116"/>
      <c r="G25" s="118">
        <f>'ELC_CEN-Peak'!G26</f>
        <v>0.36</v>
      </c>
      <c r="H25" s="118">
        <f>'ELC_CEN-Peak'!H26</f>
        <v>13.0375</v>
      </c>
      <c r="I25" s="118">
        <f>'ELC_CEN-Peak'!I26</f>
        <v>0</v>
      </c>
      <c r="J25" s="118">
        <f>'ELC_CEN-Peak'!J26</f>
        <v>14.486111111111111</v>
      </c>
      <c r="K25" s="118"/>
      <c r="L25" s="118"/>
      <c r="M25" s="118"/>
      <c r="N25" s="119"/>
      <c r="P25" s="301"/>
      <c r="X25"/>
    </row>
    <row r="26" spans="1:24">
      <c r="A26" s="303"/>
      <c r="B26" s="303"/>
      <c r="C26" s="303"/>
      <c r="D26" s="75"/>
      <c r="E26" s="116">
        <f>'ELC_CEN-Peak'!E27</f>
        <v>2050</v>
      </c>
      <c r="F26" s="116"/>
      <c r="G26" s="118">
        <f>'ELC_CEN-Peak'!G27</f>
        <v>0.37</v>
      </c>
      <c r="H26" s="118">
        <f>'ELC_CEN-Peak'!H27</f>
        <v>11.175000000000001</v>
      </c>
      <c r="I26" s="118">
        <f>'ELC_CEN-Peak'!I27</f>
        <v>0</v>
      </c>
      <c r="J26" s="118">
        <f>'ELC_CEN-Peak'!J27</f>
        <v>14.486111111111111</v>
      </c>
      <c r="K26" s="118"/>
      <c r="L26" s="118"/>
      <c r="M26" s="118"/>
      <c r="N26" s="119"/>
      <c r="P26" s="301"/>
      <c r="U26" s="301"/>
      <c r="X26"/>
    </row>
    <row r="27" spans="1:24">
      <c r="A27" s="303" t="s">
        <v>522</v>
      </c>
      <c r="B27" s="303" t="s">
        <v>523</v>
      </c>
      <c r="C27" s="303" t="s">
        <v>381</v>
      </c>
      <c r="D27" s="75" t="s">
        <v>26</v>
      </c>
      <c r="E27" s="116">
        <f>'ELC_CEN-Peak'!E28</f>
        <v>2015</v>
      </c>
      <c r="F27" s="116">
        <f>'ELC_CEN-Peak'!F28</f>
        <v>2015</v>
      </c>
      <c r="G27" s="118">
        <f>'ELC_CEN-Peak'!G28</f>
        <v>0.34</v>
      </c>
      <c r="H27" s="118">
        <f>'ELC_CEN-Peak'!H28</f>
        <v>18.625</v>
      </c>
      <c r="I27" s="118">
        <f>'ELC_CEN-Peak'!I28</f>
        <v>0</v>
      </c>
      <c r="J27" s="118">
        <f>'ELC_CEN-Peak'!J28</f>
        <v>14.486111111111111</v>
      </c>
      <c r="K27" s="118">
        <f>'ELC_CEN-Peak'!K28</f>
        <v>3.1536000000000002E-2</v>
      </c>
      <c r="L27" s="118">
        <f>'ELC_CEN-Peak'!L28</f>
        <v>0.9</v>
      </c>
      <c r="M27" s="118">
        <f>'ELC_CEN-Peak'!M28</f>
        <v>1</v>
      </c>
      <c r="N27" s="119">
        <f>'ELC_CEN-Peak'!N28</f>
        <v>25</v>
      </c>
      <c r="P27" s="301"/>
      <c r="U27" s="301"/>
      <c r="X27"/>
    </row>
    <row r="28" spans="1:24">
      <c r="E28" s="116">
        <f>'ELC_CEN-Peak'!E29</f>
        <v>2020</v>
      </c>
      <c r="F28" s="116"/>
      <c r="G28" s="118">
        <f>'ELC_CEN-Peak'!G29</f>
        <v>0.35</v>
      </c>
      <c r="H28" s="118">
        <f>'ELC_CEN-Peak'!H29</f>
        <v>15.645000000000001</v>
      </c>
      <c r="I28" s="118">
        <f>'ELC_CEN-Peak'!I29</f>
        <v>0</v>
      </c>
      <c r="J28" s="118">
        <f>'ELC_CEN-Peak'!J29</f>
        <v>14.486111111111111</v>
      </c>
      <c r="K28" s="118"/>
      <c r="L28" s="118"/>
      <c r="M28" s="118"/>
      <c r="N28" s="119"/>
      <c r="P28" s="301"/>
      <c r="U28" s="301"/>
      <c r="X28"/>
    </row>
    <row r="29" spans="1:24">
      <c r="E29" s="116">
        <f>'ELC_CEN-Peak'!E30</f>
        <v>2030</v>
      </c>
      <c r="F29" s="116"/>
      <c r="G29" s="118">
        <f>'ELC_CEN-Peak'!G30</f>
        <v>0.36</v>
      </c>
      <c r="H29" s="118">
        <f>'ELC_CEN-Peak'!H30</f>
        <v>13.0375</v>
      </c>
      <c r="I29" s="118">
        <f>'ELC_CEN-Peak'!I30</f>
        <v>0</v>
      </c>
      <c r="J29" s="118">
        <f>'ELC_CEN-Peak'!J30</f>
        <v>14.486111111111111</v>
      </c>
      <c r="K29" s="118"/>
      <c r="L29" s="118"/>
      <c r="M29" s="118"/>
      <c r="N29" s="119"/>
      <c r="P29" s="301"/>
      <c r="U29" s="301"/>
      <c r="X29"/>
    </row>
    <row r="30" spans="1:24">
      <c r="E30" s="116">
        <f>'ELC_CEN-Peak'!E31</f>
        <v>2050</v>
      </c>
      <c r="F30" s="116"/>
      <c r="G30" s="118">
        <f>'ELC_CEN-Peak'!G31</f>
        <v>0.37</v>
      </c>
      <c r="H30" s="118">
        <f>'ELC_CEN-Peak'!H31</f>
        <v>11.175000000000001</v>
      </c>
      <c r="I30" s="118">
        <f>'ELC_CEN-Peak'!I31</f>
        <v>0</v>
      </c>
      <c r="J30" s="118">
        <f>'ELC_CEN-Peak'!J31</f>
        <v>14.486111111111111</v>
      </c>
      <c r="K30" s="118"/>
      <c r="L30" s="118"/>
      <c r="M30" s="118"/>
      <c r="N30" s="119"/>
      <c r="P30" s="301"/>
      <c r="U30" s="301"/>
      <c r="X30"/>
    </row>
    <row r="31" spans="1:24">
      <c r="P31" s="301"/>
    </row>
    <row r="32" spans="1:24">
      <c r="P32" s="301"/>
    </row>
    <row r="33" spans="1:24">
      <c r="P33" s="301"/>
    </row>
    <row r="34" spans="1:24">
      <c r="P34" s="301"/>
    </row>
    <row r="35" spans="1:24">
      <c r="P35" s="301"/>
    </row>
    <row r="36" spans="1:24">
      <c r="P36" s="301"/>
    </row>
    <row r="37" spans="1:24">
      <c r="P37" s="301"/>
    </row>
    <row r="38" spans="1:24">
      <c r="M38" s="46"/>
    </row>
    <row r="39" spans="1:24">
      <c r="A39" s="285" t="s">
        <v>49</v>
      </c>
      <c r="B39" s="286"/>
      <c r="C39" s="286"/>
      <c r="D39" s="286"/>
      <c r="E39" s="286"/>
      <c r="F39" s="286"/>
      <c r="G39" s="286"/>
      <c r="H39" s="286"/>
      <c r="I39" s="340"/>
      <c r="M39" s="46"/>
    </row>
    <row r="40" spans="1:24" s="367" customFormat="1">
      <c r="A40" s="379"/>
      <c r="B40" s="380"/>
      <c r="C40" s="380"/>
      <c r="D40" s="380"/>
      <c r="E40" s="380"/>
      <c r="F40" s="380"/>
      <c r="G40" s="380"/>
      <c r="H40" s="380"/>
      <c r="I40" s="340"/>
      <c r="M40" s="46"/>
      <c r="X40" s="369"/>
    </row>
    <row r="41" spans="1:24">
      <c r="A41" s="287" t="s">
        <v>50</v>
      </c>
      <c r="B41" s="287" t="s">
        <v>1</v>
      </c>
      <c r="C41" s="287" t="s">
        <v>51</v>
      </c>
      <c r="D41" s="287" t="s">
        <v>52</v>
      </c>
      <c r="E41" s="287" t="s">
        <v>53</v>
      </c>
      <c r="F41" s="287" t="s">
        <v>54</v>
      </c>
      <c r="G41" s="287" t="s">
        <v>55</v>
      </c>
      <c r="H41" s="287" t="s">
        <v>56</v>
      </c>
      <c r="I41" s="341"/>
      <c r="M41" s="46"/>
    </row>
    <row r="42" spans="1:24" ht="55.8" thickBot="1">
      <c r="A42" s="288" t="s">
        <v>57</v>
      </c>
      <c r="B42" s="288" t="s">
        <v>58</v>
      </c>
      <c r="C42" s="288" t="s">
        <v>59</v>
      </c>
      <c r="D42" s="288" t="s">
        <v>60</v>
      </c>
      <c r="E42" s="288" t="s">
        <v>61</v>
      </c>
      <c r="F42" s="288" t="s">
        <v>62</v>
      </c>
      <c r="G42" s="288" t="s">
        <v>63</v>
      </c>
      <c r="H42" s="288" t="s">
        <v>64</v>
      </c>
      <c r="I42" s="342"/>
      <c r="M42" s="46"/>
    </row>
    <row r="43" spans="1:24">
      <c r="A43" s="276" t="s">
        <v>66</v>
      </c>
      <c r="B43" s="289" t="str">
        <f>A15</f>
        <v>ETNGAGTD1N</v>
      </c>
      <c r="C43" s="289" t="s">
        <v>517</v>
      </c>
      <c r="D43" s="290" t="s">
        <v>86</v>
      </c>
      <c r="E43" s="290" t="s">
        <v>20</v>
      </c>
      <c r="F43" s="343"/>
      <c r="G43" s="276"/>
      <c r="H43" s="276" t="s">
        <v>68</v>
      </c>
      <c r="M43" s="46"/>
    </row>
    <row r="44" spans="1:24">
      <c r="A44" s="276"/>
      <c r="B44" s="289" t="str">
        <f>A19</f>
        <v>ETNGAGTD2N</v>
      </c>
      <c r="C44" s="289" t="s">
        <v>519</v>
      </c>
      <c r="D44" s="290" t="s">
        <v>86</v>
      </c>
      <c r="E44" s="290" t="s">
        <v>20</v>
      </c>
      <c r="F44" s="343"/>
      <c r="G44" s="276"/>
      <c r="H44" s="276" t="s">
        <v>68</v>
      </c>
      <c r="M44" s="46"/>
    </row>
    <row r="45" spans="1:24">
      <c r="A45" s="276"/>
      <c r="B45" s="272" t="str">
        <f>A23</f>
        <v>ETWPEGTD1N</v>
      </c>
      <c r="C45" s="272" t="s">
        <v>521</v>
      </c>
      <c r="D45" s="290" t="s">
        <v>86</v>
      </c>
      <c r="E45" s="290" t="s">
        <v>20</v>
      </c>
      <c r="F45" s="343"/>
      <c r="G45" s="276"/>
      <c r="H45" s="276" t="s">
        <v>68</v>
      </c>
    </row>
    <row r="46" spans="1:24">
      <c r="A46" s="276"/>
      <c r="B46" s="272" t="str">
        <f>A27</f>
        <v>ETWCHGTD1N</v>
      </c>
      <c r="C46" s="272" t="s">
        <v>523</v>
      </c>
      <c r="D46" s="290" t="s">
        <v>86</v>
      </c>
      <c r="E46" s="290" t="s">
        <v>20</v>
      </c>
      <c r="F46" s="343"/>
      <c r="G46" s="276"/>
      <c r="H46" s="276" t="s">
        <v>68</v>
      </c>
    </row>
    <row r="47" spans="1:24">
      <c r="B47" s="303"/>
      <c r="C47" s="303"/>
    </row>
    <row r="48" spans="1:24">
      <c r="B48" s="303"/>
      <c r="C48" s="303"/>
    </row>
  </sheetData>
  <pageMargins left="0.7" right="0.7" top="0.75" bottom="0.75" header="0.3" footer="0.3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4">
    <tabColor rgb="FF0070C0"/>
  </sheetPr>
  <dimension ref="B2:P29"/>
  <sheetViews>
    <sheetView topLeftCell="A20" workbookViewId="0">
      <selection activeCell="P24" sqref="P24"/>
    </sheetView>
  </sheetViews>
  <sheetFormatPr defaultColWidth="8.88671875" defaultRowHeight="14.4"/>
  <cols>
    <col min="3" max="7" width="13.44140625" customWidth="1"/>
  </cols>
  <sheetData>
    <row r="2" spans="2:11">
      <c r="B2" s="128" t="s">
        <v>220</v>
      </c>
    </row>
    <row r="4" spans="2:11">
      <c r="C4" s="131" t="s">
        <v>221</v>
      </c>
    </row>
    <row r="5" spans="2:11">
      <c r="C5" s="129" t="s">
        <v>222</v>
      </c>
      <c r="I5" t="s">
        <v>441</v>
      </c>
    </row>
    <row r="6" spans="2:11" ht="15" thickBot="1"/>
    <row r="7" spans="2:11" ht="15" thickBot="1">
      <c r="C7" s="499" t="s">
        <v>223</v>
      </c>
      <c r="D7" s="500"/>
      <c r="E7" s="500"/>
      <c r="F7" s="500"/>
      <c r="G7" s="501"/>
      <c r="I7" s="74" t="s">
        <v>117</v>
      </c>
      <c r="K7" s="74" t="s">
        <v>152</v>
      </c>
    </row>
    <row r="8" spans="2:11" ht="15" thickBot="1">
      <c r="C8" s="132" t="s">
        <v>224</v>
      </c>
      <c r="D8" s="133" t="s">
        <v>225</v>
      </c>
      <c r="E8" s="133" t="s">
        <v>226</v>
      </c>
      <c r="F8" s="133">
        <v>5</v>
      </c>
      <c r="G8" s="133" t="s">
        <v>227</v>
      </c>
      <c r="I8" t="s">
        <v>117</v>
      </c>
    </row>
    <row r="9" spans="2:11" ht="29.4" thickBot="1">
      <c r="C9" s="132" t="s">
        <v>228</v>
      </c>
      <c r="D9" s="133" t="s">
        <v>229</v>
      </c>
      <c r="E9" s="133" t="s">
        <v>230</v>
      </c>
      <c r="F9" s="133" t="s">
        <v>231</v>
      </c>
      <c r="G9" s="133" t="s">
        <v>232</v>
      </c>
      <c r="I9" t="s">
        <v>302</v>
      </c>
    </row>
    <row r="12" spans="2:11" ht="15" thickBot="1">
      <c r="C12" s="142" t="s">
        <v>298</v>
      </c>
      <c r="D12" s="127"/>
    </row>
    <row r="13" spans="2:11" ht="15" thickBot="1">
      <c r="C13" s="134" t="s">
        <v>233</v>
      </c>
      <c r="D13" s="135" t="s">
        <v>234</v>
      </c>
      <c r="E13" s="502" t="s">
        <v>235</v>
      </c>
      <c r="F13" s="503"/>
      <c r="G13" s="503"/>
      <c r="H13" s="503"/>
      <c r="I13" s="503"/>
      <c r="J13" s="504"/>
    </row>
    <row r="14" spans="2:11" ht="15" thickBot="1">
      <c r="C14" s="136" t="s">
        <v>236</v>
      </c>
      <c r="D14" s="137" t="s">
        <v>224</v>
      </c>
      <c r="E14" s="137" t="s">
        <v>237</v>
      </c>
      <c r="F14" s="137" t="s">
        <v>238</v>
      </c>
      <c r="G14" s="137" t="s">
        <v>239</v>
      </c>
      <c r="H14" s="137" t="s">
        <v>226</v>
      </c>
      <c r="I14" s="137"/>
      <c r="J14" s="137"/>
    </row>
    <row r="15" spans="2:11" ht="15" thickBot="1">
      <c r="C15" s="136" t="s">
        <v>240</v>
      </c>
      <c r="D15" s="137" t="s">
        <v>241</v>
      </c>
      <c r="E15" s="137" t="s">
        <v>242</v>
      </c>
      <c r="F15" s="137" t="s">
        <v>243</v>
      </c>
      <c r="G15" s="137" t="s">
        <v>244</v>
      </c>
      <c r="H15" s="137" t="s">
        <v>245</v>
      </c>
      <c r="I15" s="137" t="s">
        <v>246</v>
      </c>
      <c r="J15" s="137"/>
    </row>
    <row r="16" spans="2:11" ht="21" thickBot="1">
      <c r="C16" s="136" t="s">
        <v>247</v>
      </c>
      <c r="D16" s="137" t="s">
        <v>248</v>
      </c>
      <c r="E16" s="137" t="s">
        <v>249</v>
      </c>
      <c r="F16" s="137" t="s">
        <v>250</v>
      </c>
      <c r="G16" s="137" t="s">
        <v>251</v>
      </c>
      <c r="H16" s="137" t="s">
        <v>252</v>
      </c>
      <c r="I16" s="137" t="s">
        <v>253</v>
      </c>
      <c r="J16" s="137" t="s">
        <v>254</v>
      </c>
    </row>
    <row r="17" spans="3:16" ht="21" thickBot="1">
      <c r="C17" s="136" t="s">
        <v>255</v>
      </c>
      <c r="D17" s="137" t="s">
        <v>256</v>
      </c>
      <c r="E17" s="137" t="s">
        <v>257</v>
      </c>
      <c r="F17" s="137" t="s">
        <v>258</v>
      </c>
      <c r="G17" s="137" t="s">
        <v>259</v>
      </c>
      <c r="H17" s="137" t="s">
        <v>260</v>
      </c>
      <c r="I17" s="137" t="s">
        <v>261</v>
      </c>
      <c r="J17" s="137"/>
    </row>
    <row r="18" spans="3:16">
      <c r="C18" s="129"/>
      <c r="N18" s="74"/>
    </row>
    <row r="19" spans="3:16" ht="335.25" customHeight="1">
      <c r="C19" s="505" t="s">
        <v>304</v>
      </c>
      <c r="D19" s="505"/>
      <c r="E19" s="505"/>
      <c r="F19" s="505"/>
      <c r="G19" s="505"/>
      <c r="H19" s="505"/>
      <c r="I19" s="505"/>
      <c r="J19" s="505"/>
    </row>
    <row r="20" spans="3:16">
      <c r="C20" s="142" t="s">
        <v>296</v>
      </c>
    </row>
    <row r="21" spans="3:16" ht="15" thickBot="1">
      <c r="C21" s="138"/>
      <c r="D21" s="139" t="s">
        <v>48</v>
      </c>
    </row>
    <row r="22" spans="3:16">
      <c r="C22" s="495" t="s">
        <v>262</v>
      </c>
      <c r="D22" s="495" t="s">
        <v>263</v>
      </c>
      <c r="E22" s="495" t="s">
        <v>264</v>
      </c>
      <c r="F22" s="495" t="s">
        <v>265</v>
      </c>
      <c r="G22" s="495" t="s">
        <v>266</v>
      </c>
      <c r="H22" s="495" t="s">
        <v>267</v>
      </c>
      <c r="I22" s="495" t="s">
        <v>268</v>
      </c>
      <c r="J22" s="495" t="s">
        <v>269</v>
      </c>
      <c r="K22" s="140" t="s">
        <v>270</v>
      </c>
      <c r="L22" s="140" t="s">
        <v>272</v>
      </c>
      <c r="M22" s="140" t="s">
        <v>274</v>
      </c>
      <c r="N22" s="495" t="s">
        <v>276</v>
      </c>
      <c r="O22" s="495" t="s">
        <v>277</v>
      </c>
      <c r="P22" s="497" t="s">
        <v>300</v>
      </c>
    </row>
    <row r="23" spans="3:16" ht="31.2" thickBot="1">
      <c r="C23" s="496"/>
      <c r="D23" s="496"/>
      <c r="E23" s="496"/>
      <c r="F23" s="496"/>
      <c r="G23" s="496"/>
      <c r="H23" s="496"/>
      <c r="I23" s="496"/>
      <c r="J23" s="496"/>
      <c r="K23" s="137" t="s">
        <v>271</v>
      </c>
      <c r="L23" s="137" t="s">
        <v>273</v>
      </c>
      <c r="M23" s="137" t="s">
        <v>275</v>
      </c>
      <c r="N23" s="496"/>
      <c r="O23" s="496"/>
      <c r="P23" s="498"/>
    </row>
    <row r="24" spans="3:16" ht="15" thickBot="1">
      <c r="C24" s="136" t="s">
        <v>278</v>
      </c>
      <c r="D24" s="141" t="s">
        <v>279</v>
      </c>
      <c r="E24" s="141" t="s">
        <v>280</v>
      </c>
      <c r="F24" s="141" t="s">
        <v>27</v>
      </c>
      <c r="G24" s="141" t="s">
        <v>33</v>
      </c>
      <c r="H24" s="141" t="s">
        <v>281</v>
      </c>
      <c r="I24" s="141" t="s">
        <v>282</v>
      </c>
      <c r="J24" s="141" t="s">
        <v>36</v>
      </c>
      <c r="K24" s="141" t="s">
        <v>32</v>
      </c>
      <c r="L24" s="141" t="s">
        <v>283</v>
      </c>
      <c r="M24" s="141" t="s">
        <v>35</v>
      </c>
      <c r="N24" s="141" t="s">
        <v>34</v>
      </c>
      <c r="O24" s="141" t="s">
        <v>171</v>
      </c>
      <c r="P24" s="143" t="s">
        <v>199</v>
      </c>
    </row>
    <row r="25" spans="3:16" ht="15" thickBot="1">
      <c r="C25" s="136" t="s">
        <v>284</v>
      </c>
      <c r="D25" s="137" t="s">
        <v>285</v>
      </c>
      <c r="E25" s="137" t="s">
        <v>286</v>
      </c>
      <c r="F25" s="137" t="s">
        <v>287</v>
      </c>
      <c r="G25" s="137" t="s">
        <v>225</v>
      </c>
      <c r="H25" s="137" t="s">
        <v>288</v>
      </c>
      <c r="I25" s="137" t="s">
        <v>245</v>
      </c>
      <c r="J25" s="137" t="s">
        <v>244</v>
      </c>
      <c r="K25" s="137" t="s">
        <v>289</v>
      </c>
      <c r="L25" s="137" t="s">
        <v>290</v>
      </c>
      <c r="M25" s="137" t="s">
        <v>291</v>
      </c>
      <c r="N25" s="137" t="s">
        <v>292</v>
      </c>
      <c r="O25" s="137" t="s">
        <v>293</v>
      </c>
      <c r="P25" s="144" t="s">
        <v>301</v>
      </c>
    </row>
    <row r="26" spans="3:16">
      <c r="C26" s="130" t="s">
        <v>294</v>
      </c>
    </row>
    <row r="28" spans="3:16">
      <c r="C28" s="142" t="s">
        <v>297</v>
      </c>
    </row>
    <row r="29" spans="3:16">
      <c r="C29" s="129" t="s">
        <v>295</v>
      </c>
    </row>
  </sheetData>
  <mergeCells count="14">
    <mergeCell ref="J22:J23"/>
    <mergeCell ref="N22:N23"/>
    <mergeCell ref="O22:O23"/>
    <mergeCell ref="P22:P23"/>
    <mergeCell ref="C7:G7"/>
    <mergeCell ref="E13:J13"/>
    <mergeCell ref="C19:J19"/>
    <mergeCell ref="C22:C23"/>
    <mergeCell ref="D22:D23"/>
    <mergeCell ref="E22:E23"/>
    <mergeCell ref="F22:F23"/>
    <mergeCell ref="G22:G23"/>
    <mergeCell ref="H22:H23"/>
    <mergeCell ref="I22:I23"/>
  </mergeCells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5">
    <tabColor rgb="FF0070C0"/>
  </sheetPr>
  <dimension ref="A1:AE25"/>
  <sheetViews>
    <sheetView workbookViewId="0"/>
  </sheetViews>
  <sheetFormatPr defaultColWidth="10.6640625" defaultRowHeight="14.4"/>
  <cols>
    <col min="1" max="1" width="20.6640625" customWidth="1"/>
    <col min="2" max="2" width="50.6640625" customWidth="1"/>
  </cols>
  <sheetData>
    <row r="1" spans="1:31" ht="19.8">
      <c r="A1" s="38" t="s">
        <v>217</v>
      </c>
    </row>
    <row r="3" spans="1:31" s="8" customFormat="1" ht="28.8">
      <c r="A3" s="1" t="s">
        <v>1</v>
      </c>
      <c r="B3" s="1" t="s">
        <v>2</v>
      </c>
      <c r="C3" s="1" t="s">
        <v>179</v>
      </c>
      <c r="D3" s="1" t="s">
        <v>3</v>
      </c>
      <c r="E3" s="2" t="s">
        <v>4</v>
      </c>
      <c r="F3" s="1" t="s">
        <v>5</v>
      </c>
      <c r="G3" s="1" t="s">
        <v>6</v>
      </c>
      <c r="H3" s="6" t="s">
        <v>7</v>
      </c>
      <c r="I3" s="1" t="s">
        <v>181</v>
      </c>
      <c r="J3" s="1" t="s">
        <v>8</v>
      </c>
      <c r="K3" s="6" t="s">
        <v>174</v>
      </c>
      <c r="L3" s="6" t="s">
        <v>183</v>
      </c>
      <c r="M3" s="1" t="s">
        <v>47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28</v>
      </c>
      <c r="W3" s="1" t="s">
        <v>17</v>
      </c>
      <c r="X3" s="10" t="s">
        <v>94</v>
      </c>
      <c r="Y3" s="10" t="s">
        <v>95</v>
      </c>
      <c r="Z3" s="10" t="s">
        <v>96</v>
      </c>
      <c r="AA3" s="10" t="s">
        <v>196</v>
      </c>
      <c r="AC3" s="32"/>
      <c r="AD3" s="32"/>
      <c r="AE3" s="32"/>
    </row>
    <row r="4" spans="1:31" s="31" customFormat="1" ht="165" customHeight="1">
      <c r="A4" s="21" t="s">
        <v>18</v>
      </c>
      <c r="B4" s="21"/>
      <c r="C4" s="21" t="s">
        <v>182</v>
      </c>
      <c r="D4" s="21" t="s">
        <v>197</v>
      </c>
      <c r="E4" s="22" t="s">
        <v>198</v>
      </c>
      <c r="F4" s="21"/>
      <c r="G4" s="21" t="s">
        <v>194</v>
      </c>
      <c r="H4" s="21" t="s">
        <v>201</v>
      </c>
      <c r="I4" s="21" t="s">
        <v>180</v>
      </c>
      <c r="J4" s="21" t="s">
        <v>175</v>
      </c>
      <c r="K4" s="21" t="s">
        <v>176</v>
      </c>
      <c r="L4" s="21" t="s">
        <v>205</v>
      </c>
      <c r="M4" s="21" t="s">
        <v>189</v>
      </c>
      <c r="N4" s="21" t="s">
        <v>202</v>
      </c>
      <c r="O4" s="21" t="s">
        <v>203</v>
      </c>
      <c r="P4" s="21" t="s">
        <v>190</v>
      </c>
      <c r="Q4" s="21" t="s">
        <v>191</v>
      </c>
      <c r="R4" s="21" t="s">
        <v>192</v>
      </c>
      <c r="S4" s="21" t="s">
        <v>184</v>
      </c>
      <c r="T4" s="21" t="s">
        <v>186</v>
      </c>
      <c r="U4" s="21" t="s">
        <v>185</v>
      </c>
      <c r="V4" s="21" t="s">
        <v>188</v>
      </c>
      <c r="W4" s="21" t="s">
        <v>187</v>
      </c>
      <c r="X4" s="21" t="s">
        <v>193</v>
      </c>
      <c r="Y4" s="21" t="s">
        <v>193</v>
      </c>
      <c r="Z4" s="21" t="s">
        <v>193</v>
      </c>
      <c r="AA4" s="21" t="s">
        <v>193</v>
      </c>
      <c r="AC4" s="33"/>
      <c r="AD4" s="33"/>
      <c r="AE4" s="33"/>
    </row>
    <row r="5" spans="1:31" s="8" customFormat="1" ht="105" customHeight="1" thickBot="1">
      <c r="A5" s="3" t="s">
        <v>19</v>
      </c>
      <c r="B5" s="4"/>
      <c r="C5" s="4"/>
      <c r="D5" s="4"/>
      <c r="E5" s="5"/>
      <c r="F5" s="4"/>
      <c r="G5" s="4"/>
      <c r="H5" s="4" t="s">
        <v>20</v>
      </c>
      <c r="I5" s="4"/>
      <c r="J5" s="4"/>
      <c r="K5" s="4"/>
      <c r="L5" s="20" t="s">
        <v>195</v>
      </c>
      <c r="M5" s="4"/>
      <c r="N5" s="4"/>
      <c r="O5" s="4"/>
      <c r="P5" s="4" t="s">
        <v>21</v>
      </c>
      <c r="Q5" s="4" t="s">
        <v>21</v>
      </c>
      <c r="R5" s="4" t="s">
        <v>22</v>
      </c>
      <c r="S5" s="4" t="s">
        <v>23</v>
      </c>
      <c r="T5" s="4" t="s">
        <v>23</v>
      </c>
      <c r="U5" s="4"/>
      <c r="V5" s="4" t="s">
        <v>24</v>
      </c>
      <c r="W5" s="4" t="s">
        <v>24</v>
      </c>
      <c r="X5" s="4" t="s">
        <v>25</v>
      </c>
      <c r="Y5" s="4" t="s">
        <v>25</v>
      </c>
      <c r="Z5" s="4" t="s">
        <v>25</v>
      </c>
      <c r="AA5" s="4" t="s">
        <v>25</v>
      </c>
      <c r="AC5" s="4" t="s">
        <v>213</v>
      </c>
      <c r="AD5" s="4" t="s">
        <v>212</v>
      </c>
      <c r="AE5" s="4" t="s">
        <v>211</v>
      </c>
    </row>
    <row r="6" spans="1:31" s="8" customFormat="1">
      <c r="A6" s="12" t="s">
        <v>104</v>
      </c>
      <c r="B6" s="12" t="s">
        <v>145</v>
      </c>
      <c r="C6" s="12"/>
      <c r="D6" s="12" t="s">
        <v>33</v>
      </c>
      <c r="E6" s="13" t="s">
        <v>26</v>
      </c>
      <c r="F6" s="12">
        <v>2015</v>
      </c>
      <c r="G6" s="12">
        <v>2015</v>
      </c>
      <c r="H6" s="12">
        <v>0.01</v>
      </c>
      <c r="I6" s="12"/>
      <c r="J6" s="9">
        <v>0.2</v>
      </c>
      <c r="K6" s="9">
        <f t="shared" ref="K6:K13" si="0">(J6+J6*M6)/(1+M6*O6)</f>
        <v>0.72500000000000009</v>
      </c>
      <c r="L6" s="9">
        <f>1/M6</f>
        <v>0.38095238095238093</v>
      </c>
      <c r="M6" s="9">
        <v>2.625</v>
      </c>
      <c r="N6" s="9"/>
      <c r="O6" s="9"/>
      <c r="P6" s="15">
        <v>8.94</v>
      </c>
      <c r="Q6" s="15">
        <v>0</v>
      </c>
      <c r="R6" s="15">
        <v>119.2</v>
      </c>
      <c r="S6" s="9">
        <v>3.1536000000000002E-2</v>
      </c>
      <c r="T6" s="9">
        <v>0.9</v>
      </c>
      <c r="U6" s="9">
        <v>1</v>
      </c>
      <c r="V6" s="14">
        <v>9</v>
      </c>
      <c r="W6" s="15">
        <v>1</v>
      </c>
      <c r="X6" s="15">
        <v>48</v>
      </c>
      <c r="Y6" s="15">
        <v>1.5</v>
      </c>
      <c r="Z6" s="15">
        <v>1</v>
      </c>
      <c r="AA6" s="15">
        <v>0</v>
      </c>
      <c r="AC6" s="32"/>
      <c r="AD6" s="34"/>
      <c r="AE6" s="32"/>
    </row>
    <row r="7" spans="1:31" s="8" customFormat="1">
      <c r="A7" s="12"/>
      <c r="B7" s="12"/>
      <c r="C7" s="12"/>
      <c r="D7" s="12"/>
      <c r="E7" s="13" t="s">
        <v>99</v>
      </c>
      <c r="F7" s="12">
        <v>2020</v>
      </c>
      <c r="G7" s="12"/>
      <c r="H7" s="12"/>
      <c r="I7" s="12"/>
      <c r="J7" s="9">
        <v>0.22</v>
      </c>
      <c r="K7" s="9">
        <f t="shared" si="0"/>
        <v>0.72499999999999998</v>
      </c>
      <c r="L7" s="9">
        <f>1/M7</f>
        <v>0.43564356435643564</v>
      </c>
      <c r="M7" s="9">
        <v>2.2954545454545454</v>
      </c>
      <c r="N7" s="9"/>
      <c r="O7" s="9"/>
      <c r="P7" s="15">
        <v>5.2149999999999999</v>
      </c>
      <c r="Q7" s="15">
        <v>0</v>
      </c>
      <c r="R7" s="15">
        <v>119.2</v>
      </c>
      <c r="S7" s="9"/>
      <c r="T7" s="9"/>
      <c r="U7" s="9"/>
      <c r="V7" s="14"/>
      <c r="W7" s="15"/>
      <c r="X7" s="15">
        <v>46</v>
      </c>
      <c r="Y7" s="15">
        <v>1.5</v>
      </c>
      <c r="Z7" s="15">
        <v>1</v>
      </c>
      <c r="AA7" s="15">
        <v>0</v>
      </c>
      <c r="AC7" s="32"/>
      <c r="AD7" s="34"/>
      <c r="AE7" s="32"/>
    </row>
    <row r="8" spans="1:31" s="8" customFormat="1">
      <c r="A8" s="12"/>
      <c r="B8" s="12"/>
      <c r="C8" s="12"/>
      <c r="D8" s="12"/>
      <c r="E8" s="13"/>
      <c r="F8" s="12">
        <v>2030</v>
      </c>
      <c r="G8" s="12"/>
      <c r="H8" s="12"/>
      <c r="I8" s="12"/>
      <c r="J8" s="9">
        <v>0.22</v>
      </c>
      <c r="K8" s="9">
        <f t="shared" si="0"/>
        <v>0.72499999999999998</v>
      </c>
      <c r="L8" s="9">
        <f>1/M8</f>
        <v>0.43564356435643564</v>
      </c>
      <c r="M8" s="9">
        <v>2.2954545454545454</v>
      </c>
      <c r="N8" s="9"/>
      <c r="O8" s="9"/>
      <c r="P8" s="15">
        <v>3.7250000000000001</v>
      </c>
      <c r="Q8" s="15">
        <v>0</v>
      </c>
      <c r="R8" s="15">
        <v>119.2</v>
      </c>
      <c r="S8" s="9"/>
      <c r="T8" s="9"/>
      <c r="U8" s="9"/>
      <c r="V8" s="14"/>
      <c r="W8" s="15"/>
      <c r="X8" s="15">
        <v>42</v>
      </c>
      <c r="Y8" s="15">
        <v>1.5</v>
      </c>
      <c r="Z8" s="15">
        <v>1</v>
      </c>
      <c r="AA8" s="15">
        <v>0</v>
      </c>
      <c r="AC8" s="32"/>
      <c r="AD8" s="34"/>
      <c r="AE8" s="32"/>
    </row>
    <row r="9" spans="1:31" s="8" customFormat="1">
      <c r="A9" s="12"/>
      <c r="B9" s="12"/>
      <c r="C9" s="12"/>
      <c r="D9" s="12"/>
      <c r="E9" s="13"/>
      <c r="F9" s="12">
        <v>2050</v>
      </c>
      <c r="G9" s="12"/>
      <c r="H9" s="12"/>
      <c r="I9" s="12"/>
      <c r="J9" s="9">
        <v>0.22</v>
      </c>
      <c r="K9" s="9">
        <f t="shared" si="0"/>
        <v>0.72499999999999998</v>
      </c>
      <c r="L9" s="9">
        <f>1/M9</f>
        <v>0.43564356435643564</v>
      </c>
      <c r="M9" s="9">
        <v>2.2954545454545454</v>
      </c>
      <c r="N9" s="9"/>
      <c r="O9" s="9"/>
      <c r="P9" s="15">
        <v>3.7250000000000001</v>
      </c>
      <c r="Q9" s="15">
        <v>0</v>
      </c>
      <c r="R9" s="15">
        <v>119.2</v>
      </c>
      <c r="S9" s="9"/>
      <c r="T9" s="9"/>
      <c r="U9" s="9"/>
      <c r="V9" s="14"/>
      <c r="W9" s="15"/>
      <c r="X9" s="15">
        <v>38</v>
      </c>
      <c r="Y9" s="15">
        <v>1.5</v>
      </c>
      <c r="Z9" s="15">
        <v>1</v>
      </c>
      <c r="AA9" s="15">
        <v>0</v>
      </c>
      <c r="AC9" s="32"/>
      <c r="AD9" s="34"/>
      <c r="AE9" s="32"/>
    </row>
    <row r="10" spans="1:31" s="8" customFormat="1">
      <c r="A10" s="12" t="s">
        <v>112</v>
      </c>
      <c r="B10" s="12" t="s">
        <v>151</v>
      </c>
      <c r="C10" s="12"/>
      <c r="D10" s="18" t="s">
        <v>46</v>
      </c>
      <c r="E10" s="13" t="s">
        <v>26</v>
      </c>
      <c r="F10" s="12">
        <v>2015</v>
      </c>
      <c r="G10" s="12">
        <v>2015</v>
      </c>
      <c r="H10" s="27">
        <v>40</v>
      </c>
      <c r="I10" s="12"/>
      <c r="J10" s="24">
        <v>0.2</v>
      </c>
      <c r="K10" s="9">
        <f t="shared" si="0"/>
        <v>0.84864864864864864</v>
      </c>
      <c r="L10" s="24">
        <f>37/120</f>
        <v>0.30833333333333335</v>
      </c>
      <c r="M10" s="9">
        <f>1/L10</f>
        <v>3.243243243243243</v>
      </c>
      <c r="N10" s="9"/>
      <c r="O10" s="9"/>
      <c r="P10" s="25">
        <f>5*Euro</f>
        <v>37.25</v>
      </c>
      <c r="Q10" s="25">
        <f>32000*Euro/1000000</f>
        <v>0.2384</v>
      </c>
      <c r="R10" s="25">
        <f>26*Euro/3.6</f>
        <v>53.805555555555557</v>
      </c>
      <c r="S10" s="9">
        <v>3.1536000000000002E-2</v>
      </c>
      <c r="T10" s="24">
        <v>0.9</v>
      </c>
      <c r="U10" s="9">
        <v>1</v>
      </c>
      <c r="V10" s="26">
        <v>15</v>
      </c>
      <c r="W10" s="25">
        <v>1</v>
      </c>
      <c r="X10" s="25">
        <v>130</v>
      </c>
      <c r="Y10" s="25">
        <v>0</v>
      </c>
      <c r="Z10" s="25">
        <v>0</v>
      </c>
      <c r="AA10" s="25">
        <v>0</v>
      </c>
      <c r="AC10" s="32" t="s">
        <v>209</v>
      </c>
      <c r="AD10" s="34">
        <v>41464</v>
      </c>
      <c r="AE10" s="32" t="s">
        <v>210</v>
      </c>
    </row>
    <row r="11" spans="1:31" s="8" customFormat="1">
      <c r="A11" s="12"/>
      <c r="B11" s="12"/>
      <c r="C11" s="12"/>
      <c r="D11" s="12"/>
      <c r="E11" s="13" t="s">
        <v>99</v>
      </c>
      <c r="F11" s="12">
        <v>2020</v>
      </c>
      <c r="G11" s="12"/>
      <c r="H11" s="12"/>
      <c r="I11" s="12"/>
      <c r="J11" s="24">
        <v>0.22</v>
      </c>
      <c r="K11" s="9">
        <f t="shared" si="0"/>
        <v>0.88</v>
      </c>
      <c r="L11" s="24">
        <f>40/120</f>
        <v>0.33333333333333331</v>
      </c>
      <c r="M11" s="9">
        <f>1/L11</f>
        <v>3</v>
      </c>
      <c r="N11" s="9"/>
      <c r="O11" s="9"/>
      <c r="P11" s="25">
        <f>3.8*Euro</f>
        <v>28.31</v>
      </c>
      <c r="Q11" s="25">
        <f>32000*Euro/1000000</f>
        <v>0.2384</v>
      </c>
      <c r="R11" s="25">
        <f>21*Euro/3.6</f>
        <v>43.458333333333336</v>
      </c>
      <c r="S11" s="9"/>
      <c r="T11" s="9"/>
      <c r="U11" s="9"/>
      <c r="V11" s="14"/>
      <c r="W11" s="15"/>
      <c r="X11" s="25">
        <v>100</v>
      </c>
      <c r="Y11" s="25">
        <v>0</v>
      </c>
      <c r="Z11" s="25">
        <v>0</v>
      </c>
      <c r="AA11" s="25">
        <v>0</v>
      </c>
      <c r="AC11" s="32" t="s">
        <v>209</v>
      </c>
      <c r="AD11" s="34">
        <v>41464</v>
      </c>
      <c r="AE11" s="32" t="s">
        <v>210</v>
      </c>
    </row>
    <row r="12" spans="1:31" s="8" customFormat="1">
      <c r="A12" s="12"/>
      <c r="B12" s="12"/>
      <c r="C12" s="12"/>
      <c r="D12" s="12"/>
      <c r="E12" s="13"/>
      <c r="F12" s="12">
        <v>2030</v>
      </c>
      <c r="G12" s="12"/>
      <c r="H12" s="12"/>
      <c r="I12" s="12"/>
      <c r="J12" s="24">
        <v>0.22</v>
      </c>
      <c r="K12" s="9">
        <f t="shared" si="0"/>
        <v>0.88</v>
      </c>
      <c r="L12" s="24">
        <f>40/120</f>
        <v>0.33333333333333331</v>
      </c>
      <c r="M12" s="9">
        <f>1/L12</f>
        <v>3</v>
      </c>
      <c r="N12" s="9"/>
      <c r="O12" s="9"/>
      <c r="P12" s="25">
        <f>3.8*Euro</f>
        <v>28.31</v>
      </c>
      <c r="Q12" s="25">
        <f>32000*Euro/1000000</f>
        <v>0.2384</v>
      </c>
      <c r="R12" s="25">
        <f>21*Euro/3.6</f>
        <v>43.458333333333336</v>
      </c>
      <c r="S12" s="9"/>
      <c r="T12" s="9"/>
      <c r="U12" s="9"/>
      <c r="V12" s="14"/>
      <c r="W12" s="15"/>
      <c r="X12" s="25">
        <v>100</v>
      </c>
      <c r="Y12" s="25">
        <v>0</v>
      </c>
      <c r="Z12" s="25">
        <v>0</v>
      </c>
      <c r="AA12" s="25">
        <v>0</v>
      </c>
      <c r="AC12" s="32" t="s">
        <v>209</v>
      </c>
      <c r="AD12" s="34">
        <v>41464</v>
      </c>
      <c r="AE12" s="32" t="s">
        <v>210</v>
      </c>
    </row>
    <row r="13" spans="1:31" s="8" customFormat="1">
      <c r="A13" s="12"/>
      <c r="B13" s="12"/>
      <c r="C13" s="12"/>
      <c r="D13" s="12"/>
      <c r="E13" s="13"/>
      <c r="F13" s="12">
        <v>2050</v>
      </c>
      <c r="G13" s="12"/>
      <c r="H13" s="12"/>
      <c r="I13" s="12"/>
      <c r="J13" s="24">
        <v>0.22</v>
      </c>
      <c r="K13" s="9">
        <f t="shared" si="0"/>
        <v>0.88</v>
      </c>
      <c r="L13" s="24">
        <f>40/120</f>
        <v>0.33333333333333331</v>
      </c>
      <c r="M13" s="9">
        <f>1/L13</f>
        <v>3</v>
      </c>
      <c r="N13" s="9"/>
      <c r="O13" s="9"/>
      <c r="P13" s="25">
        <f>3.8*Euro</f>
        <v>28.31</v>
      </c>
      <c r="Q13" s="25">
        <f>32000*Euro/1000000</f>
        <v>0.2384</v>
      </c>
      <c r="R13" s="25">
        <f>21*Euro/3.6</f>
        <v>43.458333333333336</v>
      </c>
      <c r="S13" s="9"/>
      <c r="T13" s="9"/>
      <c r="U13" s="9"/>
      <c r="V13" s="14"/>
      <c r="W13" s="15"/>
      <c r="X13" s="25">
        <v>100</v>
      </c>
      <c r="Y13" s="25">
        <v>0</v>
      </c>
      <c r="Z13" s="25">
        <v>0</v>
      </c>
      <c r="AA13" s="25">
        <v>0</v>
      </c>
      <c r="AC13" s="32" t="s">
        <v>209</v>
      </c>
      <c r="AD13" s="34">
        <v>41464</v>
      </c>
      <c r="AE13" s="32" t="s">
        <v>210</v>
      </c>
    </row>
    <row r="14" spans="1:31" s="8" customFormat="1">
      <c r="A14" s="12" t="s">
        <v>37</v>
      </c>
      <c r="B14" s="12" t="s">
        <v>162</v>
      </c>
      <c r="C14" s="12"/>
      <c r="D14" s="12" t="s">
        <v>36</v>
      </c>
      <c r="E14" s="13" t="s">
        <v>26</v>
      </c>
      <c r="F14" s="12"/>
      <c r="G14" s="12">
        <v>2015</v>
      </c>
      <c r="H14" s="12">
        <v>5.0000000000000001E-3</v>
      </c>
      <c r="I14" s="12"/>
      <c r="J14" s="9">
        <v>1</v>
      </c>
      <c r="K14" s="12"/>
      <c r="L14" s="12"/>
      <c r="M14" s="12"/>
      <c r="N14" s="12"/>
      <c r="O14" s="12"/>
      <c r="P14" s="15">
        <v>7.7400000000000011</v>
      </c>
      <c r="Q14" s="15"/>
      <c r="R14" s="15"/>
      <c r="S14" s="9">
        <v>3.1536000000000002E-2</v>
      </c>
      <c r="T14" s="9">
        <v>0.17123287671232876</v>
      </c>
      <c r="U14" s="39">
        <v>0.17123287671232876</v>
      </c>
      <c r="V14" s="12">
        <v>20</v>
      </c>
      <c r="W14" s="12">
        <v>1</v>
      </c>
      <c r="X14" s="12"/>
      <c r="Y14" s="12"/>
      <c r="Z14" s="12"/>
      <c r="AA14" s="40">
        <v>0</v>
      </c>
      <c r="AC14" s="32"/>
      <c r="AD14" s="34"/>
      <c r="AE14" s="32"/>
    </row>
    <row r="15" spans="1:31" s="8" customFormat="1">
      <c r="A15" s="12" t="s">
        <v>38</v>
      </c>
      <c r="B15" s="12" t="s">
        <v>163</v>
      </c>
      <c r="C15" s="12"/>
      <c r="D15" s="12" t="s">
        <v>36</v>
      </c>
      <c r="E15" s="13" t="s">
        <v>26</v>
      </c>
      <c r="F15" s="12"/>
      <c r="G15" s="12">
        <v>2020</v>
      </c>
      <c r="H15" s="12">
        <v>5.0000000000000001E-3</v>
      </c>
      <c r="I15" s="12"/>
      <c r="J15" s="9">
        <v>1</v>
      </c>
      <c r="K15" s="12"/>
      <c r="L15" s="12"/>
      <c r="M15" s="12"/>
      <c r="N15" s="12"/>
      <c r="O15" s="12"/>
      <c r="P15" s="15">
        <v>7.7400000000000011</v>
      </c>
      <c r="Q15" s="15"/>
      <c r="R15" s="15"/>
      <c r="S15" s="9">
        <v>3.1536000000000002E-2</v>
      </c>
      <c r="T15" s="9">
        <v>0.17123287671232876</v>
      </c>
      <c r="U15" s="39">
        <v>0.17123287671232876</v>
      </c>
      <c r="V15" s="12">
        <v>20</v>
      </c>
      <c r="W15" s="12">
        <v>1</v>
      </c>
      <c r="X15" s="12"/>
      <c r="Y15" s="12"/>
      <c r="Z15" s="12"/>
      <c r="AA15" s="40">
        <v>0</v>
      </c>
      <c r="AC15" s="32"/>
      <c r="AD15" s="34"/>
      <c r="AE15" s="32"/>
    </row>
    <row r="16" spans="1:31" s="8" customFormat="1">
      <c r="A16" s="12" t="s">
        <v>39</v>
      </c>
      <c r="B16" s="12" t="s">
        <v>164</v>
      </c>
      <c r="C16" s="12"/>
      <c r="D16" s="12" t="s">
        <v>36</v>
      </c>
      <c r="E16" s="13" t="s">
        <v>26</v>
      </c>
      <c r="F16" s="12"/>
      <c r="G16" s="12">
        <v>2030</v>
      </c>
      <c r="H16" s="12">
        <v>5.0000000000000001E-3</v>
      </c>
      <c r="I16" s="12"/>
      <c r="J16" s="9">
        <v>1</v>
      </c>
      <c r="K16" s="12"/>
      <c r="L16" s="12"/>
      <c r="M16" s="12"/>
      <c r="N16" s="12"/>
      <c r="O16" s="12"/>
      <c r="P16" s="15">
        <v>7.7400000000000011</v>
      </c>
      <c r="Q16" s="15"/>
      <c r="R16" s="15"/>
      <c r="S16" s="9">
        <v>3.1536000000000002E-2</v>
      </c>
      <c r="T16" s="9">
        <v>0.17123287671232876</v>
      </c>
      <c r="U16" s="39">
        <v>0.17123287671232876</v>
      </c>
      <c r="V16" s="12">
        <v>20</v>
      </c>
      <c r="W16" s="12">
        <v>1</v>
      </c>
      <c r="X16" s="12"/>
      <c r="Y16" s="12"/>
      <c r="Z16" s="12"/>
      <c r="AA16" s="40">
        <v>0</v>
      </c>
      <c r="AC16" s="32"/>
      <c r="AD16" s="34"/>
      <c r="AE16" s="32"/>
    </row>
    <row r="17" spans="1:31" s="8" customFormat="1">
      <c r="A17" s="12" t="s">
        <v>40</v>
      </c>
      <c r="B17" s="12" t="s">
        <v>165</v>
      </c>
      <c r="C17" s="12"/>
      <c r="D17" s="12" t="s">
        <v>36</v>
      </c>
      <c r="E17" s="13" t="s">
        <v>26</v>
      </c>
      <c r="F17" s="12"/>
      <c r="G17" s="12">
        <v>2050</v>
      </c>
      <c r="H17" s="12">
        <v>5.0000000000000001E-3</v>
      </c>
      <c r="I17" s="12"/>
      <c r="J17" s="9">
        <v>1</v>
      </c>
      <c r="K17" s="12"/>
      <c r="L17" s="12"/>
      <c r="M17" s="12"/>
      <c r="N17" s="12"/>
      <c r="O17" s="12"/>
      <c r="P17" s="15">
        <v>7.7400000000000011</v>
      </c>
      <c r="Q17" s="15"/>
      <c r="R17" s="15"/>
      <c r="S17" s="9">
        <v>3.1536000000000002E-2</v>
      </c>
      <c r="T17" s="9">
        <v>0.17123287671232876</v>
      </c>
      <c r="U17" s="39">
        <v>0.17123287671232876</v>
      </c>
      <c r="V17" s="12">
        <v>20</v>
      </c>
      <c r="W17" s="12">
        <v>1</v>
      </c>
      <c r="X17" s="12"/>
      <c r="Y17" s="12"/>
      <c r="Z17" s="12"/>
      <c r="AA17" s="40">
        <v>0</v>
      </c>
      <c r="AC17" s="32"/>
      <c r="AD17" s="34"/>
      <c r="AE17" s="32"/>
    </row>
    <row r="18" spans="1:31" s="8" customFormat="1">
      <c r="A18" s="12" t="s">
        <v>41</v>
      </c>
      <c r="B18" s="12" t="s">
        <v>169</v>
      </c>
      <c r="C18" s="12"/>
      <c r="D18" s="12" t="s">
        <v>36</v>
      </c>
      <c r="E18" s="13" t="s">
        <v>26</v>
      </c>
      <c r="F18" s="12"/>
      <c r="G18" s="12">
        <v>2015</v>
      </c>
      <c r="H18" s="12">
        <v>2.0000000000000001E-4</v>
      </c>
      <c r="I18" s="12"/>
      <c r="J18" s="9">
        <v>1</v>
      </c>
      <c r="K18" s="12"/>
      <c r="L18" s="12"/>
      <c r="M18" s="12"/>
      <c r="N18" s="12"/>
      <c r="O18" s="12"/>
      <c r="P18" s="15">
        <v>35.387500000000003</v>
      </c>
      <c r="Q18" s="15"/>
      <c r="R18" s="15">
        <v>804.6</v>
      </c>
      <c r="S18" s="9">
        <v>3.1536000000000002E-2</v>
      </c>
      <c r="T18" s="9">
        <v>0.10273972602739725</v>
      </c>
      <c r="U18" s="39">
        <v>0.10273972602739725</v>
      </c>
      <c r="V18" s="12">
        <v>20</v>
      </c>
      <c r="W18" s="12">
        <v>1</v>
      </c>
      <c r="X18" s="12"/>
      <c r="Y18" s="12"/>
      <c r="Z18" s="12"/>
      <c r="AA18" s="40">
        <v>0</v>
      </c>
      <c r="AC18" s="32"/>
      <c r="AD18" s="34"/>
      <c r="AE18" s="32"/>
    </row>
    <row r="19" spans="1:31" s="8" customFormat="1">
      <c r="A19" s="12" t="s">
        <v>42</v>
      </c>
      <c r="B19" s="12" t="s">
        <v>168</v>
      </c>
      <c r="C19" s="12"/>
      <c r="D19" s="12" t="s">
        <v>36</v>
      </c>
      <c r="E19" s="13" t="s">
        <v>26</v>
      </c>
      <c r="F19" s="12"/>
      <c r="G19" s="12">
        <v>2020</v>
      </c>
      <c r="H19" s="12">
        <v>2.0000000000000001E-4</v>
      </c>
      <c r="I19" s="12"/>
      <c r="J19" s="9">
        <v>1</v>
      </c>
      <c r="K19" s="12"/>
      <c r="L19" s="12"/>
      <c r="M19" s="12"/>
      <c r="N19" s="12"/>
      <c r="O19" s="12"/>
      <c r="P19" s="15">
        <v>35.387500000000003</v>
      </c>
      <c r="Q19" s="15"/>
      <c r="R19" s="15">
        <v>804.6</v>
      </c>
      <c r="S19" s="9">
        <v>3.1536000000000002E-2</v>
      </c>
      <c r="T19" s="9">
        <v>0.10273972602739725</v>
      </c>
      <c r="U19" s="39">
        <v>0.10273972602739725</v>
      </c>
      <c r="V19" s="12">
        <v>20</v>
      </c>
      <c r="W19" s="12">
        <v>1</v>
      </c>
      <c r="X19" s="12"/>
      <c r="Y19" s="12"/>
      <c r="Z19" s="12"/>
      <c r="AA19" s="40">
        <v>0</v>
      </c>
      <c r="AC19" s="32"/>
      <c r="AD19" s="34"/>
      <c r="AE19" s="32"/>
    </row>
    <row r="20" spans="1:31" s="8" customFormat="1">
      <c r="A20" s="12" t="s">
        <v>43</v>
      </c>
      <c r="B20" s="12" t="s">
        <v>166</v>
      </c>
      <c r="C20" s="12"/>
      <c r="D20" s="12" t="s">
        <v>36</v>
      </c>
      <c r="E20" s="13" t="s">
        <v>26</v>
      </c>
      <c r="F20" s="12"/>
      <c r="G20" s="12">
        <v>2030</v>
      </c>
      <c r="H20" s="12">
        <v>2.0000000000000001E-4</v>
      </c>
      <c r="I20" s="12"/>
      <c r="J20" s="9">
        <v>1</v>
      </c>
      <c r="K20" s="12"/>
      <c r="L20" s="12"/>
      <c r="M20" s="12"/>
      <c r="N20" s="12"/>
      <c r="O20" s="12"/>
      <c r="P20" s="15">
        <v>35.387500000000003</v>
      </c>
      <c r="Q20" s="15"/>
      <c r="R20" s="15">
        <v>804.6</v>
      </c>
      <c r="S20" s="9">
        <v>3.1536000000000002E-2</v>
      </c>
      <c r="T20" s="9">
        <v>0.10273972602739725</v>
      </c>
      <c r="U20" s="39">
        <v>0.10273972602739725</v>
      </c>
      <c r="V20" s="12">
        <v>20</v>
      </c>
      <c r="W20" s="12">
        <v>1</v>
      </c>
      <c r="X20" s="12"/>
      <c r="Y20" s="12"/>
      <c r="Z20" s="12"/>
      <c r="AA20" s="40">
        <v>0</v>
      </c>
      <c r="AC20" s="32"/>
      <c r="AD20" s="34"/>
      <c r="AE20" s="32"/>
    </row>
    <row r="21" spans="1:31" s="8" customFormat="1">
      <c r="A21" s="12" t="s">
        <v>44</v>
      </c>
      <c r="B21" s="12" t="s">
        <v>167</v>
      </c>
      <c r="C21" s="12"/>
      <c r="D21" s="12" t="s">
        <v>36</v>
      </c>
      <c r="E21" s="13" t="s">
        <v>26</v>
      </c>
      <c r="F21" s="12"/>
      <c r="G21" s="12">
        <v>2050</v>
      </c>
      <c r="H21" s="12">
        <v>2.0000000000000001E-4</v>
      </c>
      <c r="I21" s="12"/>
      <c r="J21" s="9">
        <v>1</v>
      </c>
      <c r="K21" s="12"/>
      <c r="L21" s="12"/>
      <c r="M21" s="12"/>
      <c r="N21" s="12"/>
      <c r="O21" s="12"/>
      <c r="P21" s="15">
        <v>35.387500000000003</v>
      </c>
      <c r="Q21" s="15"/>
      <c r="R21" s="15">
        <v>804.6</v>
      </c>
      <c r="S21" s="9">
        <v>3.1536000000000002E-2</v>
      </c>
      <c r="T21" s="9">
        <v>0.10273972602739725</v>
      </c>
      <c r="U21" s="39">
        <v>0.10273972602739725</v>
      </c>
      <c r="V21" s="12">
        <v>20</v>
      </c>
      <c r="W21" s="12">
        <v>1</v>
      </c>
      <c r="X21" s="12"/>
      <c r="Y21" s="12"/>
      <c r="Z21" s="12"/>
      <c r="AA21" s="40">
        <v>0</v>
      </c>
      <c r="AC21" s="32"/>
      <c r="AD21" s="34"/>
      <c r="AE21" s="32"/>
    </row>
    <row r="22" spans="1:31" s="8" customFormat="1">
      <c r="A22" s="12" t="s">
        <v>170</v>
      </c>
      <c r="B22" s="12" t="s">
        <v>155</v>
      </c>
      <c r="C22" s="12"/>
      <c r="D22" s="16" t="s">
        <v>34</v>
      </c>
      <c r="E22" s="13" t="s">
        <v>99</v>
      </c>
      <c r="F22" s="12">
        <v>2011</v>
      </c>
      <c r="G22" s="12">
        <v>2011</v>
      </c>
      <c r="H22" s="12">
        <v>43.75</v>
      </c>
      <c r="I22" s="12"/>
      <c r="J22" s="41">
        <v>0.95599999999999996</v>
      </c>
      <c r="K22" s="12"/>
      <c r="L22" s="12"/>
      <c r="M22" s="12"/>
      <c r="N22" s="12"/>
      <c r="O22" s="12"/>
      <c r="P22" s="15">
        <v>8.6088542090837894</v>
      </c>
      <c r="Q22" s="15">
        <v>0.40229999999999999</v>
      </c>
      <c r="R22" s="15">
        <v>149.67854506656226</v>
      </c>
      <c r="S22" s="9">
        <v>3.1536000000000002E-2</v>
      </c>
      <c r="T22" s="12">
        <v>0.95</v>
      </c>
      <c r="U22" s="9">
        <v>1</v>
      </c>
      <c r="V22" s="12">
        <v>20</v>
      </c>
      <c r="W22" s="12">
        <v>3</v>
      </c>
      <c r="X22" s="12">
        <v>164</v>
      </c>
      <c r="Y22" s="12">
        <v>6</v>
      </c>
      <c r="Z22" s="12">
        <v>4</v>
      </c>
      <c r="AA22" s="17">
        <v>0.2646</v>
      </c>
      <c r="AC22" s="32" t="s">
        <v>209</v>
      </c>
      <c r="AD22" s="34">
        <v>41452</v>
      </c>
      <c r="AE22" s="32" t="s">
        <v>210</v>
      </c>
    </row>
    <row r="23" spans="1:31" s="8" customFormat="1">
      <c r="A23" s="12"/>
      <c r="B23" s="12"/>
      <c r="C23" s="12"/>
      <c r="D23" s="16"/>
      <c r="E23" s="13"/>
      <c r="F23" s="12">
        <v>2020</v>
      </c>
      <c r="G23" s="12"/>
      <c r="H23" s="12"/>
      <c r="I23" s="12"/>
      <c r="J23" s="41">
        <v>0.97599999999999998</v>
      </c>
      <c r="K23" s="12"/>
      <c r="L23" s="12"/>
      <c r="M23" s="12"/>
      <c r="N23" s="12"/>
      <c r="O23" s="12"/>
      <c r="P23" s="15">
        <v>8.4346601409553639</v>
      </c>
      <c r="Q23" s="15">
        <v>0.39484999999999998</v>
      </c>
      <c r="R23" s="15">
        <v>145.22284416601411</v>
      </c>
      <c r="S23" s="9"/>
      <c r="T23" s="12"/>
      <c r="U23" s="9"/>
      <c r="V23" s="12"/>
      <c r="W23" s="12"/>
      <c r="X23" s="12">
        <v>164</v>
      </c>
      <c r="Y23" s="12">
        <v>6</v>
      </c>
      <c r="Z23" s="12">
        <v>4</v>
      </c>
      <c r="AA23" s="17">
        <v>0.26568000000000003</v>
      </c>
      <c r="AC23" s="32" t="s">
        <v>209</v>
      </c>
      <c r="AD23" s="34">
        <v>41452</v>
      </c>
      <c r="AE23" s="32" t="s">
        <v>210</v>
      </c>
    </row>
    <row r="24" spans="1:31" s="8" customFormat="1">
      <c r="A24" s="12"/>
      <c r="B24" s="12"/>
      <c r="C24" s="12"/>
      <c r="D24" s="16"/>
      <c r="E24" s="13"/>
      <c r="F24" s="12">
        <v>2030</v>
      </c>
      <c r="G24" s="12"/>
      <c r="H24" s="12"/>
      <c r="I24" s="12"/>
      <c r="J24" s="41"/>
      <c r="K24" s="12"/>
      <c r="L24" s="12"/>
      <c r="M24" s="12"/>
      <c r="N24" s="12"/>
      <c r="O24" s="12"/>
      <c r="P24" s="15">
        <v>8.4346601409553639</v>
      </c>
      <c r="Q24" s="15">
        <v>0.39484999999999998</v>
      </c>
      <c r="R24" s="15">
        <v>145.22284416601411</v>
      </c>
      <c r="S24" s="9"/>
      <c r="T24" s="12"/>
      <c r="U24" s="9"/>
      <c r="V24" s="12"/>
      <c r="W24" s="12"/>
      <c r="X24" s="12">
        <v>164</v>
      </c>
      <c r="Y24" s="12">
        <v>6</v>
      </c>
      <c r="Z24" s="12">
        <v>4</v>
      </c>
      <c r="AA24" s="17">
        <v>0.26568000000000003</v>
      </c>
      <c r="AC24" s="32" t="s">
        <v>209</v>
      </c>
      <c r="AD24" s="34">
        <v>41452</v>
      </c>
      <c r="AE24" s="32" t="s">
        <v>210</v>
      </c>
    </row>
    <row r="25" spans="1:31" s="8" customFormat="1">
      <c r="A25" s="12"/>
      <c r="B25" s="12"/>
      <c r="C25" s="12"/>
      <c r="D25" s="16"/>
      <c r="E25" s="13"/>
      <c r="F25" s="12">
        <v>2050</v>
      </c>
      <c r="G25" s="12"/>
      <c r="H25" s="12"/>
      <c r="I25" s="12"/>
      <c r="J25" s="41"/>
      <c r="K25" s="12"/>
      <c r="L25" s="12"/>
      <c r="M25" s="12"/>
      <c r="N25" s="12"/>
      <c r="O25" s="12"/>
      <c r="P25" s="15">
        <v>8.4346601409553639</v>
      </c>
      <c r="Q25" s="15">
        <v>0.39484999999999998</v>
      </c>
      <c r="R25" s="15">
        <v>145.22284416601411</v>
      </c>
      <c r="S25" s="9"/>
      <c r="T25" s="12"/>
      <c r="U25" s="9"/>
      <c r="V25" s="12"/>
      <c r="W25" s="12"/>
      <c r="X25" s="12">
        <v>164</v>
      </c>
      <c r="Y25" s="12">
        <v>6</v>
      </c>
      <c r="Z25" s="12">
        <v>4</v>
      </c>
      <c r="AA25" s="17">
        <v>0.26568000000000003</v>
      </c>
      <c r="AC25" s="32" t="s">
        <v>209</v>
      </c>
      <c r="AD25" s="34">
        <v>41452</v>
      </c>
      <c r="AE25" s="32" t="s">
        <v>210</v>
      </c>
    </row>
  </sheetData>
  <conditionalFormatting sqref="K6:K9">
    <cfRule type="cellIs" dxfId="1" priority="2" operator="greaterThan">
      <formula>1</formula>
    </cfRule>
  </conditionalFormatting>
  <conditionalFormatting sqref="K10:K13">
    <cfRule type="cellIs" dxfId="0" priority="1" operator="greaterThan">
      <formula>1</formula>
    </cfRule>
  </conditionalFormatting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transitionEvaluation="1" codeName="Sheet6">
    <tabColor rgb="FF0070C0"/>
  </sheetPr>
  <dimension ref="A1:AX115"/>
  <sheetViews>
    <sheetView showGridLines="0" topLeftCell="Q6" workbookViewId="0">
      <selection activeCell="U58" sqref="U58"/>
    </sheetView>
  </sheetViews>
  <sheetFormatPr defaultColWidth="10.6640625" defaultRowHeight="14.4"/>
  <cols>
    <col min="1" max="1" width="10.6640625" style="189" customWidth="1"/>
    <col min="2" max="13" width="10.6640625" style="186" customWidth="1"/>
    <col min="14" max="14" width="10.6640625" style="187" customWidth="1"/>
    <col min="15" max="15" width="10.6640625" style="188" customWidth="1"/>
    <col min="16" max="16" width="10.6640625" style="186" customWidth="1"/>
    <col min="17" max="17" width="10.6640625" style="189" customWidth="1"/>
    <col min="18" max="19" width="10.6640625" style="188" customWidth="1"/>
    <col min="20" max="28" width="13.33203125" style="188" customWidth="1"/>
    <col min="29" max="29" width="10.6640625" style="186" customWidth="1"/>
    <col min="30" max="32" width="10.6640625" style="190" customWidth="1"/>
    <col min="33" max="50" width="10.6640625" style="191" customWidth="1"/>
    <col min="51" max="256" width="10.6640625" style="186"/>
    <col min="257" max="275" width="10.6640625" style="186" customWidth="1"/>
    <col min="276" max="284" width="13.33203125" style="186" customWidth="1"/>
    <col min="285" max="306" width="10.6640625" style="186" customWidth="1"/>
    <col min="307" max="512" width="10.6640625" style="186"/>
    <col min="513" max="531" width="10.6640625" style="186" customWidth="1"/>
    <col min="532" max="540" width="13.33203125" style="186" customWidth="1"/>
    <col min="541" max="562" width="10.6640625" style="186" customWidth="1"/>
    <col min="563" max="768" width="10.6640625" style="186"/>
    <col min="769" max="787" width="10.6640625" style="186" customWidth="1"/>
    <col min="788" max="796" width="13.33203125" style="186" customWidth="1"/>
    <col min="797" max="818" width="10.6640625" style="186" customWidth="1"/>
    <col min="819" max="1024" width="10.6640625" style="186"/>
    <col min="1025" max="1043" width="10.6640625" style="186" customWidth="1"/>
    <col min="1044" max="1052" width="13.33203125" style="186" customWidth="1"/>
    <col min="1053" max="1074" width="10.6640625" style="186" customWidth="1"/>
    <col min="1075" max="1280" width="10.6640625" style="186"/>
    <col min="1281" max="1299" width="10.6640625" style="186" customWidth="1"/>
    <col min="1300" max="1308" width="13.33203125" style="186" customWidth="1"/>
    <col min="1309" max="1330" width="10.6640625" style="186" customWidth="1"/>
    <col min="1331" max="1536" width="10.6640625" style="186"/>
    <col min="1537" max="1555" width="10.6640625" style="186" customWidth="1"/>
    <col min="1556" max="1564" width="13.33203125" style="186" customWidth="1"/>
    <col min="1565" max="1586" width="10.6640625" style="186" customWidth="1"/>
    <col min="1587" max="1792" width="10.6640625" style="186"/>
    <col min="1793" max="1811" width="10.6640625" style="186" customWidth="1"/>
    <col min="1812" max="1820" width="13.33203125" style="186" customWidth="1"/>
    <col min="1821" max="1842" width="10.6640625" style="186" customWidth="1"/>
    <col min="1843" max="2048" width="10.6640625" style="186"/>
    <col min="2049" max="2067" width="10.6640625" style="186" customWidth="1"/>
    <col min="2068" max="2076" width="13.33203125" style="186" customWidth="1"/>
    <col min="2077" max="2098" width="10.6640625" style="186" customWidth="1"/>
    <col min="2099" max="2304" width="10.6640625" style="186"/>
    <col min="2305" max="2323" width="10.6640625" style="186" customWidth="1"/>
    <col min="2324" max="2332" width="13.33203125" style="186" customWidth="1"/>
    <col min="2333" max="2354" width="10.6640625" style="186" customWidth="1"/>
    <col min="2355" max="2560" width="10.6640625" style="186"/>
    <col min="2561" max="2579" width="10.6640625" style="186" customWidth="1"/>
    <col min="2580" max="2588" width="13.33203125" style="186" customWidth="1"/>
    <col min="2589" max="2610" width="10.6640625" style="186" customWidth="1"/>
    <col min="2611" max="2816" width="10.6640625" style="186"/>
    <col min="2817" max="2835" width="10.6640625" style="186" customWidth="1"/>
    <col min="2836" max="2844" width="13.33203125" style="186" customWidth="1"/>
    <col min="2845" max="2866" width="10.6640625" style="186" customWidth="1"/>
    <col min="2867" max="3072" width="10.6640625" style="186"/>
    <col min="3073" max="3091" width="10.6640625" style="186" customWidth="1"/>
    <col min="3092" max="3100" width="13.33203125" style="186" customWidth="1"/>
    <col min="3101" max="3122" width="10.6640625" style="186" customWidth="1"/>
    <col min="3123" max="3328" width="10.6640625" style="186"/>
    <col min="3329" max="3347" width="10.6640625" style="186" customWidth="1"/>
    <col min="3348" max="3356" width="13.33203125" style="186" customWidth="1"/>
    <col min="3357" max="3378" width="10.6640625" style="186" customWidth="1"/>
    <col min="3379" max="3584" width="10.6640625" style="186"/>
    <col min="3585" max="3603" width="10.6640625" style="186" customWidth="1"/>
    <col min="3604" max="3612" width="13.33203125" style="186" customWidth="1"/>
    <col min="3613" max="3634" width="10.6640625" style="186" customWidth="1"/>
    <col min="3635" max="3840" width="10.6640625" style="186"/>
    <col min="3841" max="3859" width="10.6640625" style="186" customWidth="1"/>
    <col min="3860" max="3868" width="13.33203125" style="186" customWidth="1"/>
    <col min="3869" max="3890" width="10.6640625" style="186" customWidth="1"/>
    <col min="3891" max="4096" width="10.6640625" style="186"/>
    <col min="4097" max="4115" width="10.6640625" style="186" customWidth="1"/>
    <col min="4116" max="4124" width="13.33203125" style="186" customWidth="1"/>
    <col min="4125" max="4146" width="10.6640625" style="186" customWidth="1"/>
    <col min="4147" max="4352" width="10.6640625" style="186"/>
    <col min="4353" max="4371" width="10.6640625" style="186" customWidth="1"/>
    <col min="4372" max="4380" width="13.33203125" style="186" customWidth="1"/>
    <col min="4381" max="4402" width="10.6640625" style="186" customWidth="1"/>
    <col min="4403" max="4608" width="10.6640625" style="186"/>
    <col min="4609" max="4627" width="10.6640625" style="186" customWidth="1"/>
    <col min="4628" max="4636" width="13.33203125" style="186" customWidth="1"/>
    <col min="4637" max="4658" width="10.6640625" style="186" customWidth="1"/>
    <col min="4659" max="4864" width="10.6640625" style="186"/>
    <col min="4865" max="4883" width="10.6640625" style="186" customWidth="1"/>
    <col min="4884" max="4892" width="13.33203125" style="186" customWidth="1"/>
    <col min="4893" max="4914" width="10.6640625" style="186" customWidth="1"/>
    <col min="4915" max="5120" width="10.6640625" style="186"/>
    <col min="5121" max="5139" width="10.6640625" style="186" customWidth="1"/>
    <col min="5140" max="5148" width="13.33203125" style="186" customWidth="1"/>
    <col min="5149" max="5170" width="10.6640625" style="186" customWidth="1"/>
    <col min="5171" max="5376" width="10.6640625" style="186"/>
    <col min="5377" max="5395" width="10.6640625" style="186" customWidth="1"/>
    <col min="5396" max="5404" width="13.33203125" style="186" customWidth="1"/>
    <col min="5405" max="5426" width="10.6640625" style="186" customWidth="1"/>
    <col min="5427" max="5632" width="10.6640625" style="186"/>
    <col min="5633" max="5651" width="10.6640625" style="186" customWidth="1"/>
    <col min="5652" max="5660" width="13.33203125" style="186" customWidth="1"/>
    <col min="5661" max="5682" width="10.6640625" style="186" customWidth="1"/>
    <col min="5683" max="5888" width="10.6640625" style="186"/>
    <col min="5889" max="5907" width="10.6640625" style="186" customWidth="1"/>
    <col min="5908" max="5916" width="13.33203125" style="186" customWidth="1"/>
    <col min="5917" max="5938" width="10.6640625" style="186" customWidth="1"/>
    <col min="5939" max="6144" width="10.6640625" style="186"/>
    <col min="6145" max="6163" width="10.6640625" style="186" customWidth="1"/>
    <col min="6164" max="6172" width="13.33203125" style="186" customWidth="1"/>
    <col min="6173" max="6194" width="10.6640625" style="186" customWidth="1"/>
    <col min="6195" max="6400" width="10.6640625" style="186"/>
    <col min="6401" max="6419" width="10.6640625" style="186" customWidth="1"/>
    <col min="6420" max="6428" width="13.33203125" style="186" customWidth="1"/>
    <col min="6429" max="6450" width="10.6640625" style="186" customWidth="1"/>
    <col min="6451" max="6656" width="10.6640625" style="186"/>
    <col min="6657" max="6675" width="10.6640625" style="186" customWidth="1"/>
    <col min="6676" max="6684" width="13.33203125" style="186" customWidth="1"/>
    <col min="6685" max="6706" width="10.6640625" style="186" customWidth="1"/>
    <col min="6707" max="6912" width="10.6640625" style="186"/>
    <col min="6913" max="6931" width="10.6640625" style="186" customWidth="1"/>
    <col min="6932" max="6940" width="13.33203125" style="186" customWidth="1"/>
    <col min="6941" max="6962" width="10.6640625" style="186" customWidth="1"/>
    <col min="6963" max="7168" width="10.6640625" style="186"/>
    <col min="7169" max="7187" width="10.6640625" style="186" customWidth="1"/>
    <col min="7188" max="7196" width="13.33203125" style="186" customWidth="1"/>
    <col min="7197" max="7218" width="10.6640625" style="186" customWidth="1"/>
    <col min="7219" max="7424" width="10.6640625" style="186"/>
    <col min="7425" max="7443" width="10.6640625" style="186" customWidth="1"/>
    <col min="7444" max="7452" width="13.33203125" style="186" customWidth="1"/>
    <col min="7453" max="7474" width="10.6640625" style="186" customWidth="1"/>
    <col min="7475" max="7680" width="10.6640625" style="186"/>
    <col min="7681" max="7699" width="10.6640625" style="186" customWidth="1"/>
    <col min="7700" max="7708" width="13.33203125" style="186" customWidth="1"/>
    <col min="7709" max="7730" width="10.6640625" style="186" customWidth="1"/>
    <col min="7731" max="7936" width="10.6640625" style="186"/>
    <col min="7937" max="7955" width="10.6640625" style="186" customWidth="1"/>
    <col min="7956" max="7964" width="13.33203125" style="186" customWidth="1"/>
    <col min="7965" max="7986" width="10.6640625" style="186" customWidth="1"/>
    <col min="7987" max="8192" width="10.6640625" style="186"/>
    <col min="8193" max="8211" width="10.6640625" style="186" customWidth="1"/>
    <col min="8212" max="8220" width="13.33203125" style="186" customWidth="1"/>
    <col min="8221" max="8242" width="10.6640625" style="186" customWidth="1"/>
    <col min="8243" max="8448" width="10.6640625" style="186"/>
    <col min="8449" max="8467" width="10.6640625" style="186" customWidth="1"/>
    <col min="8468" max="8476" width="13.33203125" style="186" customWidth="1"/>
    <col min="8477" max="8498" width="10.6640625" style="186" customWidth="1"/>
    <col min="8499" max="8704" width="10.6640625" style="186"/>
    <col min="8705" max="8723" width="10.6640625" style="186" customWidth="1"/>
    <col min="8724" max="8732" width="13.33203125" style="186" customWidth="1"/>
    <col min="8733" max="8754" width="10.6640625" style="186" customWidth="1"/>
    <col min="8755" max="8960" width="10.6640625" style="186"/>
    <col min="8961" max="8979" width="10.6640625" style="186" customWidth="1"/>
    <col min="8980" max="8988" width="13.33203125" style="186" customWidth="1"/>
    <col min="8989" max="9010" width="10.6640625" style="186" customWidth="1"/>
    <col min="9011" max="9216" width="10.6640625" style="186"/>
    <col min="9217" max="9235" width="10.6640625" style="186" customWidth="1"/>
    <col min="9236" max="9244" width="13.33203125" style="186" customWidth="1"/>
    <col min="9245" max="9266" width="10.6640625" style="186" customWidth="1"/>
    <col min="9267" max="9472" width="10.6640625" style="186"/>
    <col min="9473" max="9491" width="10.6640625" style="186" customWidth="1"/>
    <col min="9492" max="9500" width="13.33203125" style="186" customWidth="1"/>
    <col min="9501" max="9522" width="10.6640625" style="186" customWidth="1"/>
    <col min="9523" max="9728" width="10.6640625" style="186"/>
    <col min="9729" max="9747" width="10.6640625" style="186" customWidth="1"/>
    <col min="9748" max="9756" width="13.33203125" style="186" customWidth="1"/>
    <col min="9757" max="9778" width="10.6640625" style="186" customWidth="1"/>
    <col min="9779" max="9984" width="10.6640625" style="186"/>
    <col min="9985" max="10003" width="10.6640625" style="186" customWidth="1"/>
    <col min="10004" max="10012" width="13.33203125" style="186" customWidth="1"/>
    <col min="10013" max="10034" width="10.6640625" style="186" customWidth="1"/>
    <col min="10035" max="10240" width="10.6640625" style="186"/>
    <col min="10241" max="10259" width="10.6640625" style="186" customWidth="1"/>
    <col min="10260" max="10268" width="13.33203125" style="186" customWidth="1"/>
    <col min="10269" max="10290" width="10.6640625" style="186" customWidth="1"/>
    <col min="10291" max="10496" width="10.6640625" style="186"/>
    <col min="10497" max="10515" width="10.6640625" style="186" customWidth="1"/>
    <col min="10516" max="10524" width="13.33203125" style="186" customWidth="1"/>
    <col min="10525" max="10546" width="10.6640625" style="186" customWidth="1"/>
    <col min="10547" max="10752" width="10.6640625" style="186"/>
    <col min="10753" max="10771" width="10.6640625" style="186" customWidth="1"/>
    <col min="10772" max="10780" width="13.33203125" style="186" customWidth="1"/>
    <col min="10781" max="10802" width="10.6640625" style="186" customWidth="1"/>
    <col min="10803" max="11008" width="10.6640625" style="186"/>
    <col min="11009" max="11027" width="10.6640625" style="186" customWidth="1"/>
    <col min="11028" max="11036" width="13.33203125" style="186" customWidth="1"/>
    <col min="11037" max="11058" width="10.6640625" style="186" customWidth="1"/>
    <col min="11059" max="11264" width="10.6640625" style="186"/>
    <col min="11265" max="11283" width="10.6640625" style="186" customWidth="1"/>
    <col min="11284" max="11292" width="13.33203125" style="186" customWidth="1"/>
    <col min="11293" max="11314" width="10.6640625" style="186" customWidth="1"/>
    <col min="11315" max="11520" width="10.6640625" style="186"/>
    <col min="11521" max="11539" width="10.6640625" style="186" customWidth="1"/>
    <col min="11540" max="11548" width="13.33203125" style="186" customWidth="1"/>
    <col min="11549" max="11570" width="10.6640625" style="186" customWidth="1"/>
    <col min="11571" max="11776" width="10.6640625" style="186"/>
    <col min="11777" max="11795" width="10.6640625" style="186" customWidth="1"/>
    <col min="11796" max="11804" width="13.33203125" style="186" customWidth="1"/>
    <col min="11805" max="11826" width="10.6640625" style="186" customWidth="1"/>
    <col min="11827" max="12032" width="10.6640625" style="186"/>
    <col min="12033" max="12051" width="10.6640625" style="186" customWidth="1"/>
    <col min="12052" max="12060" width="13.33203125" style="186" customWidth="1"/>
    <col min="12061" max="12082" width="10.6640625" style="186" customWidth="1"/>
    <col min="12083" max="12288" width="10.6640625" style="186"/>
    <col min="12289" max="12307" width="10.6640625" style="186" customWidth="1"/>
    <col min="12308" max="12316" width="13.33203125" style="186" customWidth="1"/>
    <col min="12317" max="12338" width="10.6640625" style="186" customWidth="1"/>
    <col min="12339" max="12544" width="10.6640625" style="186"/>
    <col min="12545" max="12563" width="10.6640625" style="186" customWidth="1"/>
    <col min="12564" max="12572" width="13.33203125" style="186" customWidth="1"/>
    <col min="12573" max="12594" width="10.6640625" style="186" customWidth="1"/>
    <col min="12595" max="12800" width="10.6640625" style="186"/>
    <col min="12801" max="12819" width="10.6640625" style="186" customWidth="1"/>
    <col min="12820" max="12828" width="13.33203125" style="186" customWidth="1"/>
    <col min="12829" max="12850" width="10.6640625" style="186" customWidth="1"/>
    <col min="12851" max="13056" width="10.6640625" style="186"/>
    <col min="13057" max="13075" width="10.6640625" style="186" customWidth="1"/>
    <col min="13076" max="13084" width="13.33203125" style="186" customWidth="1"/>
    <col min="13085" max="13106" width="10.6640625" style="186" customWidth="1"/>
    <col min="13107" max="13312" width="10.6640625" style="186"/>
    <col min="13313" max="13331" width="10.6640625" style="186" customWidth="1"/>
    <col min="13332" max="13340" width="13.33203125" style="186" customWidth="1"/>
    <col min="13341" max="13362" width="10.6640625" style="186" customWidth="1"/>
    <col min="13363" max="13568" width="10.6640625" style="186"/>
    <col min="13569" max="13587" width="10.6640625" style="186" customWidth="1"/>
    <col min="13588" max="13596" width="13.33203125" style="186" customWidth="1"/>
    <col min="13597" max="13618" width="10.6640625" style="186" customWidth="1"/>
    <col min="13619" max="13824" width="10.6640625" style="186"/>
    <col min="13825" max="13843" width="10.6640625" style="186" customWidth="1"/>
    <col min="13844" max="13852" width="13.33203125" style="186" customWidth="1"/>
    <col min="13853" max="13874" width="10.6640625" style="186" customWidth="1"/>
    <col min="13875" max="14080" width="10.6640625" style="186"/>
    <col min="14081" max="14099" width="10.6640625" style="186" customWidth="1"/>
    <col min="14100" max="14108" width="13.33203125" style="186" customWidth="1"/>
    <col min="14109" max="14130" width="10.6640625" style="186" customWidth="1"/>
    <col min="14131" max="14336" width="10.6640625" style="186"/>
    <col min="14337" max="14355" width="10.6640625" style="186" customWidth="1"/>
    <col min="14356" max="14364" width="13.33203125" style="186" customWidth="1"/>
    <col min="14365" max="14386" width="10.6640625" style="186" customWidth="1"/>
    <col min="14387" max="14592" width="10.6640625" style="186"/>
    <col min="14593" max="14611" width="10.6640625" style="186" customWidth="1"/>
    <col min="14612" max="14620" width="13.33203125" style="186" customWidth="1"/>
    <col min="14621" max="14642" width="10.6640625" style="186" customWidth="1"/>
    <col min="14643" max="14848" width="10.6640625" style="186"/>
    <col min="14849" max="14867" width="10.6640625" style="186" customWidth="1"/>
    <col min="14868" max="14876" width="13.33203125" style="186" customWidth="1"/>
    <col min="14877" max="14898" width="10.6640625" style="186" customWidth="1"/>
    <col min="14899" max="15104" width="10.6640625" style="186"/>
    <col min="15105" max="15123" width="10.6640625" style="186" customWidth="1"/>
    <col min="15124" max="15132" width="13.33203125" style="186" customWidth="1"/>
    <col min="15133" max="15154" width="10.6640625" style="186" customWidth="1"/>
    <col min="15155" max="15360" width="10.6640625" style="186"/>
    <col min="15361" max="15379" width="10.6640625" style="186" customWidth="1"/>
    <col min="15380" max="15388" width="13.33203125" style="186" customWidth="1"/>
    <col min="15389" max="15410" width="10.6640625" style="186" customWidth="1"/>
    <col min="15411" max="15616" width="10.6640625" style="186"/>
    <col min="15617" max="15635" width="10.6640625" style="186" customWidth="1"/>
    <col min="15636" max="15644" width="13.33203125" style="186" customWidth="1"/>
    <col min="15645" max="15666" width="10.6640625" style="186" customWidth="1"/>
    <col min="15667" max="15872" width="10.6640625" style="186"/>
    <col min="15873" max="15891" width="10.6640625" style="186" customWidth="1"/>
    <col min="15892" max="15900" width="13.33203125" style="186" customWidth="1"/>
    <col min="15901" max="15922" width="10.6640625" style="186" customWidth="1"/>
    <col min="15923" max="16128" width="10.6640625" style="186"/>
    <col min="16129" max="16147" width="10.6640625" style="186" customWidth="1"/>
    <col min="16148" max="16156" width="13.33203125" style="186" customWidth="1"/>
    <col min="16157" max="16178" width="10.6640625" style="186" customWidth="1"/>
    <col min="16179" max="16384" width="10.6640625" style="186"/>
  </cols>
  <sheetData>
    <row r="1" spans="1:34" s="186" customFormat="1">
      <c r="A1" s="185" t="s">
        <v>419</v>
      </c>
      <c r="N1" s="187"/>
      <c r="O1" s="188"/>
      <c r="Q1" s="189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D1" s="190"/>
      <c r="AE1" s="190"/>
      <c r="AF1" s="190"/>
      <c r="AG1" s="191"/>
      <c r="AH1" s="191"/>
    </row>
    <row r="2" spans="1:34" s="186" customFormat="1" ht="19.8">
      <c r="A2" s="192" t="s">
        <v>420</v>
      </c>
      <c r="D2" s="193"/>
      <c r="E2" s="193"/>
      <c r="F2" s="193"/>
      <c r="G2" s="193"/>
      <c r="H2" s="193"/>
      <c r="I2" s="193"/>
      <c r="N2" s="187"/>
      <c r="O2" s="188"/>
      <c r="Q2" s="189"/>
      <c r="R2" s="188"/>
      <c r="S2" s="188"/>
      <c r="T2" s="188"/>
      <c r="U2" s="188"/>
      <c r="V2" s="188"/>
      <c r="W2" s="188"/>
      <c r="X2" s="188"/>
      <c r="Y2" s="188"/>
      <c r="Z2" s="188"/>
      <c r="AA2" s="188"/>
      <c r="AB2" s="188"/>
      <c r="AD2" s="190"/>
      <c r="AE2" s="190"/>
      <c r="AF2" s="190"/>
      <c r="AG2" s="191"/>
      <c r="AH2" s="191"/>
    </row>
    <row r="3" spans="1:34" s="186" customFormat="1">
      <c r="A3" s="189" t="s">
        <v>421</v>
      </c>
      <c r="D3" s="193"/>
      <c r="N3" s="187"/>
      <c r="O3" s="188"/>
      <c r="Q3" s="189"/>
      <c r="R3" s="188"/>
      <c r="S3" s="188"/>
      <c r="T3" s="188"/>
      <c r="U3" s="188"/>
      <c r="V3" s="188"/>
      <c r="W3" s="188"/>
      <c r="X3" s="188"/>
      <c r="Y3" s="188"/>
      <c r="Z3" s="188"/>
      <c r="AA3" s="188"/>
      <c r="AB3" s="188"/>
      <c r="AD3" s="190"/>
      <c r="AE3" s="190"/>
      <c r="AF3" s="190"/>
      <c r="AG3" s="191"/>
      <c r="AH3" s="191"/>
    </row>
    <row r="4" spans="1:34" s="186" customFormat="1" ht="19.8">
      <c r="A4" s="192" t="s">
        <v>422</v>
      </c>
      <c r="B4" s="193"/>
      <c r="C4" s="193"/>
      <c r="D4" s="193"/>
      <c r="E4" s="193"/>
      <c r="F4" s="193"/>
      <c r="G4" s="193"/>
      <c r="H4" s="193"/>
      <c r="J4" s="191"/>
      <c r="K4" s="191"/>
      <c r="L4" s="191"/>
      <c r="N4" s="187"/>
      <c r="O4" s="188"/>
      <c r="Q4" s="189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D4" s="190"/>
      <c r="AE4" s="190"/>
      <c r="AF4" s="190"/>
      <c r="AG4" s="191"/>
      <c r="AH4" s="191"/>
    </row>
    <row r="5" spans="1:34" s="186" customFormat="1">
      <c r="A5" s="194">
        <v>41141</v>
      </c>
      <c r="B5" s="195" t="s">
        <v>210</v>
      </c>
      <c r="C5" s="193"/>
      <c r="D5" s="193"/>
      <c r="E5" s="193"/>
      <c r="F5" s="193"/>
      <c r="J5" s="191"/>
      <c r="K5" s="191"/>
      <c r="L5" s="191"/>
      <c r="N5" s="187"/>
      <c r="O5" s="188"/>
      <c r="Q5" s="189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D5" s="190"/>
      <c r="AE5" s="190"/>
      <c r="AF5" s="190"/>
      <c r="AG5" s="190"/>
      <c r="AH5" s="190"/>
    </row>
    <row r="6" spans="1:34" s="186" customFormat="1">
      <c r="A6" s="189"/>
      <c r="H6" s="196"/>
      <c r="I6" s="190"/>
      <c r="J6" s="191"/>
      <c r="K6" s="191"/>
      <c r="L6" s="191"/>
      <c r="M6" s="193"/>
      <c r="N6" s="187"/>
      <c r="O6" s="197" t="s">
        <v>344</v>
      </c>
      <c r="Q6" s="189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8"/>
      <c r="AD6" s="190"/>
      <c r="AE6" s="190"/>
      <c r="AF6" s="190"/>
      <c r="AG6" s="190"/>
      <c r="AH6" s="190"/>
    </row>
    <row r="7" spans="1:34" s="186" customFormat="1">
      <c r="A7" s="198" t="s">
        <v>345</v>
      </c>
      <c r="B7" s="199">
        <v>1</v>
      </c>
      <c r="C7" s="199">
        <v>1</v>
      </c>
      <c r="D7" s="199">
        <v>1</v>
      </c>
      <c r="E7" s="199">
        <v>1</v>
      </c>
      <c r="F7" s="199">
        <v>1</v>
      </c>
      <c r="G7" s="199"/>
      <c r="H7" s="199">
        <v>1</v>
      </c>
      <c r="I7" s="200">
        <v>1</v>
      </c>
      <c r="J7" s="200"/>
      <c r="K7" s="201"/>
      <c r="L7" s="200">
        <v>1</v>
      </c>
      <c r="M7" s="202"/>
      <c r="N7" s="187"/>
      <c r="O7" s="203">
        <v>0.5</v>
      </c>
      <c r="Q7" s="204" t="s">
        <v>346</v>
      </c>
      <c r="R7" s="190"/>
      <c r="S7" s="190"/>
      <c r="T7" s="190"/>
      <c r="U7" s="190"/>
      <c r="V7" s="190"/>
      <c r="W7" s="190"/>
      <c r="X7" s="190"/>
      <c r="Y7" s="188"/>
      <c r="Z7" s="188"/>
      <c r="AA7" s="188"/>
      <c r="AB7" s="188"/>
      <c r="AD7" s="190"/>
      <c r="AE7" s="190"/>
      <c r="AF7" s="190"/>
      <c r="AG7" s="190"/>
      <c r="AH7" s="190"/>
    </row>
    <row r="8" spans="1:34" s="186" customFormat="1">
      <c r="A8" s="443" t="s">
        <v>375</v>
      </c>
      <c r="B8" s="253">
        <f>AVERAGE(B33:B58)/3.6</f>
        <v>4.8336744639376228</v>
      </c>
      <c r="C8" s="253">
        <f t="shared" ref="C8:M8" si="0">AVERAGE(C33:C58)/3.6</f>
        <v>4.4469805068226114</v>
      </c>
      <c r="D8" s="253">
        <f t="shared" si="0"/>
        <v>17.634088693957118</v>
      </c>
      <c r="E8" s="253">
        <f t="shared" si="0"/>
        <v>28.245199805068228</v>
      </c>
      <c r="F8" s="253">
        <f t="shared" si="0"/>
        <v>12.813401559454192</v>
      </c>
      <c r="G8" s="253">
        <f t="shared" si="0"/>
        <v>6.5271842355175727</v>
      </c>
      <c r="H8" s="253">
        <f t="shared" si="0"/>
        <v>12.317300194931775</v>
      </c>
      <c r="I8" s="253">
        <f t="shared" si="0"/>
        <v>17.499829434697858</v>
      </c>
      <c r="J8" s="253">
        <f t="shared" si="0"/>
        <v>2.7777777777777787E-2</v>
      </c>
      <c r="K8" s="253">
        <f t="shared" si="0"/>
        <v>0</v>
      </c>
      <c r="L8" s="253">
        <f t="shared" si="0"/>
        <v>13.382888833555951</v>
      </c>
      <c r="M8" s="253">
        <f t="shared" si="0"/>
        <v>1.5797008547008544</v>
      </c>
      <c r="N8" s="187"/>
      <c r="O8" s="205"/>
      <c r="Q8" s="185" t="s">
        <v>347</v>
      </c>
      <c r="R8" s="206"/>
      <c r="S8" s="206"/>
      <c r="T8" s="188"/>
      <c r="U8" s="188"/>
      <c r="V8" s="207"/>
      <c r="W8" s="208"/>
      <c r="X8" s="208"/>
      <c r="Y8" s="190"/>
      <c r="Z8" s="190"/>
      <c r="AA8" s="188"/>
      <c r="AB8" s="188"/>
      <c r="AD8" s="190"/>
      <c r="AE8" s="190"/>
      <c r="AF8" s="190"/>
      <c r="AG8" s="190"/>
      <c r="AH8" s="190"/>
    </row>
    <row r="9" spans="1:34" s="186" customFormat="1" ht="15" customHeight="1">
      <c r="A9" s="209"/>
      <c r="B9" s="210" t="s">
        <v>265</v>
      </c>
      <c r="C9" s="210" t="s">
        <v>348</v>
      </c>
      <c r="D9" s="210" t="s">
        <v>349</v>
      </c>
      <c r="E9" s="210" t="s">
        <v>350</v>
      </c>
      <c r="F9" s="210" t="s">
        <v>351</v>
      </c>
      <c r="G9" s="210" t="s">
        <v>352</v>
      </c>
      <c r="H9" s="210" t="s">
        <v>275</v>
      </c>
      <c r="I9" s="210" t="s">
        <v>353</v>
      </c>
      <c r="J9" s="210" t="s">
        <v>276</v>
      </c>
      <c r="K9" s="210" t="s">
        <v>354</v>
      </c>
      <c r="L9" s="210" t="s">
        <v>355</v>
      </c>
      <c r="M9" s="211" t="s">
        <v>356</v>
      </c>
      <c r="N9" s="187"/>
      <c r="O9" s="510" t="s">
        <v>357</v>
      </c>
      <c r="Q9" s="391" t="s">
        <v>358</v>
      </c>
      <c r="R9" s="510" t="s">
        <v>359</v>
      </c>
      <c r="S9" s="510" t="s">
        <v>360</v>
      </c>
      <c r="T9" s="512" t="s">
        <v>361</v>
      </c>
      <c r="U9" s="508" t="s">
        <v>362</v>
      </c>
      <c r="V9" s="508" t="s">
        <v>363</v>
      </c>
      <c r="W9" s="508" t="s">
        <v>364</v>
      </c>
      <c r="X9" s="508" t="s">
        <v>365</v>
      </c>
      <c r="Y9" s="508" t="s">
        <v>366</v>
      </c>
      <c r="Z9" s="508" t="s">
        <v>367</v>
      </c>
      <c r="AA9" s="508" t="s">
        <v>368</v>
      </c>
      <c r="AB9" s="506" t="s">
        <v>369</v>
      </c>
      <c r="AD9" s="190"/>
      <c r="AE9" s="190"/>
      <c r="AF9" s="190"/>
      <c r="AG9" s="190"/>
      <c r="AH9" s="190"/>
    </row>
    <row r="10" spans="1:34" s="186" customFormat="1" ht="20.25" customHeight="1" thickBot="1">
      <c r="A10" s="212" t="s">
        <v>5</v>
      </c>
      <c r="B10" s="213" t="s">
        <v>370</v>
      </c>
      <c r="C10" s="213" t="s">
        <v>370</v>
      </c>
      <c r="D10" s="213" t="s">
        <v>370</v>
      </c>
      <c r="E10" s="213" t="s">
        <v>370</v>
      </c>
      <c r="F10" s="213" t="s">
        <v>370</v>
      </c>
      <c r="G10" s="213" t="s">
        <v>370</v>
      </c>
      <c r="H10" s="213" t="s">
        <v>370</v>
      </c>
      <c r="I10" s="213" t="s">
        <v>370</v>
      </c>
      <c r="J10" s="213" t="s">
        <v>370</v>
      </c>
      <c r="K10" s="213" t="s">
        <v>370</v>
      </c>
      <c r="L10" s="213" t="s">
        <v>370</v>
      </c>
      <c r="M10" s="214" t="s">
        <v>370</v>
      </c>
      <c r="N10" s="187"/>
      <c r="O10" s="511"/>
      <c r="Q10" s="455" t="s">
        <v>571</v>
      </c>
      <c r="R10" s="511"/>
      <c r="S10" s="511"/>
      <c r="T10" s="513"/>
      <c r="U10" s="509"/>
      <c r="V10" s="509"/>
      <c r="W10" s="509"/>
      <c r="X10" s="509"/>
      <c r="Y10" s="509"/>
      <c r="Z10" s="509"/>
      <c r="AA10" s="509"/>
      <c r="AB10" s="507"/>
      <c r="AD10" s="190"/>
      <c r="AE10" s="190"/>
      <c r="AF10" s="190"/>
      <c r="AG10" s="190"/>
      <c r="AH10" s="190"/>
    </row>
    <row r="11" spans="1:34" s="186" customFormat="1" ht="15" hidden="1" customHeight="1">
      <c r="A11" s="215">
        <v>1988</v>
      </c>
      <c r="B11" s="216"/>
      <c r="C11" s="216"/>
      <c r="D11" s="216"/>
      <c r="E11" s="216"/>
      <c r="F11" s="217"/>
      <c r="G11" s="216"/>
      <c r="H11" s="216"/>
      <c r="I11" s="216"/>
      <c r="J11" s="216"/>
      <c r="K11" s="216"/>
      <c r="L11" s="216"/>
      <c r="M11" s="218"/>
      <c r="N11" s="187"/>
      <c r="O11" s="219"/>
      <c r="P11" s="220"/>
      <c r="Q11" s="221">
        <v>1988</v>
      </c>
      <c r="R11" s="222">
        <v>0.59470544835024419</v>
      </c>
      <c r="S11" s="222"/>
      <c r="T11" s="223"/>
      <c r="U11" s="223"/>
      <c r="V11" s="223"/>
      <c r="W11" s="223"/>
      <c r="X11" s="223"/>
      <c r="Y11" s="223"/>
      <c r="Z11" s="223"/>
      <c r="AA11" s="223"/>
      <c r="AB11" s="224"/>
      <c r="AD11" s="190"/>
      <c r="AE11" s="190"/>
      <c r="AF11" s="190"/>
      <c r="AG11" s="190"/>
      <c r="AH11" s="190"/>
    </row>
    <row r="12" spans="1:34" s="186" customFormat="1" ht="15" hidden="1" customHeight="1">
      <c r="A12" s="215">
        <f t="shared" ref="A12:A63" si="1">A11+1</f>
        <v>1989</v>
      </c>
      <c r="B12" s="216"/>
      <c r="C12" s="216"/>
      <c r="D12" s="216"/>
      <c r="E12" s="216"/>
      <c r="F12" s="216"/>
      <c r="G12" s="216"/>
      <c r="H12" s="216"/>
      <c r="I12" s="216"/>
      <c r="J12" s="216"/>
      <c r="K12" s="216"/>
      <c r="L12" s="216"/>
      <c r="M12" s="218"/>
      <c r="N12" s="187"/>
      <c r="O12" s="219"/>
      <c r="P12" s="220"/>
      <c r="Q12" s="221">
        <v>1989</v>
      </c>
      <c r="R12" s="222">
        <v>0.62521046494054278</v>
      </c>
      <c r="S12" s="225">
        <f>R12/R11-1</f>
        <v>5.1294328435903314E-2</v>
      </c>
      <c r="T12" s="223"/>
      <c r="U12" s="223"/>
      <c r="V12" s="223"/>
      <c r="W12" s="223"/>
      <c r="X12" s="223"/>
      <c r="Y12" s="223"/>
      <c r="Z12" s="223"/>
      <c r="AA12" s="223"/>
      <c r="AB12" s="224"/>
      <c r="AD12" s="190"/>
      <c r="AE12" s="190"/>
      <c r="AF12" s="190"/>
      <c r="AG12" s="190"/>
      <c r="AH12" s="190"/>
    </row>
    <row r="13" spans="1:34" s="186" customFormat="1" ht="15" hidden="1" customHeight="1">
      <c r="A13" s="215">
        <f t="shared" si="1"/>
        <v>1990</v>
      </c>
      <c r="B13" s="216"/>
      <c r="C13" s="216"/>
      <c r="D13" s="216"/>
      <c r="E13" s="216"/>
      <c r="F13" s="217"/>
      <c r="G13" s="216"/>
      <c r="H13" s="216"/>
      <c r="I13" s="216"/>
      <c r="J13" s="216"/>
      <c r="K13" s="216"/>
      <c r="L13" s="216"/>
      <c r="M13" s="218"/>
      <c r="N13" s="187"/>
      <c r="O13" s="219"/>
      <c r="P13" s="220"/>
      <c r="Q13" s="221">
        <v>1990</v>
      </c>
      <c r="R13" s="222">
        <v>0.6438158030322807</v>
      </c>
      <c r="S13" s="225">
        <f t="shared" ref="S13:S31" si="2">R13/R12-1</f>
        <v>2.9758519946570861E-2</v>
      </c>
      <c r="T13" s="223"/>
      <c r="U13" s="223"/>
      <c r="V13" s="223"/>
      <c r="W13" s="223"/>
      <c r="X13" s="223"/>
      <c r="Y13" s="223"/>
      <c r="Z13" s="223"/>
      <c r="AA13" s="223"/>
      <c r="AB13" s="224"/>
      <c r="AD13" s="190"/>
      <c r="AE13" s="190"/>
      <c r="AF13" s="190"/>
      <c r="AG13" s="190"/>
      <c r="AH13" s="190"/>
    </row>
    <row r="14" spans="1:34" s="186" customFormat="1" ht="15" hidden="1" customHeight="1">
      <c r="A14" s="215">
        <f t="shared" si="1"/>
        <v>1991</v>
      </c>
      <c r="B14" s="216"/>
      <c r="C14" s="216"/>
      <c r="D14" s="216"/>
      <c r="E14" s="216"/>
      <c r="F14" s="217"/>
      <c r="G14" s="216"/>
      <c r="H14" s="216"/>
      <c r="I14" s="216"/>
      <c r="J14" s="216"/>
      <c r="K14" s="216"/>
      <c r="L14" s="216"/>
      <c r="M14" s="218"/>
      <c r="N14" s="187"/>
      <c r="O14" s="219"/>
      <c r="P14" s="220"/>
      <c r="Q14" s="221">
        <v>1991</v>
      </c>
      <c r="R14" s="222">
        <v>0.66395832589117032</v>
      </c>
      <c r="S14" s="225">
        <f t="shared" si="2"/>
        <v>3.1286157879351739E-2</v>
      </c>
      <c r="T14" s="223"/>
      <c r="U14" s="223"/>
      <c r="V14" s="223"/>
      <c r="W14" s="223"/>
      <c r="X14" s="223"/>
      <c r="Y14" s="223"/>
      <c r="Z14" s="223"/>
      <c r="AA14" s="223"/>
      <c r="AB14" s="224"/>
      <c r="AD14" s="190"/>
      <c r="AE14" s="190"/>
      <c r="AF14" s="190"/>
      <c r="AG14" s="190"/>
      <c r="AH14" s="190"/>
    </row>
    <row r="15" spans="1:34" s="186" customFormat="1" ht="15" hidden="1" customHeight="1">
      <c r="A15" s="215">
        <f t="shared" si="1"/>
        <v>1992</v>
      </c>
      <c r="B15" s="216"/>
      <c r="C15" s="216"/>
      <c r="D15" s="216"/>
      <c r="E15" s="216"/>
      <c r="F15" s="217"/>
      <c r="G15" s="216"/>
      <c r="H15" s="216"/>
      <c r="I15" s="216"/>
      <c r="J15" s="216"/>
      <c r="K15" s="216"/>
      <c r="L15" s="216"/>
      <c r="M15" s="218"/>
      <c r="N15" s="187"/>
      <c r="O15" s="219"/>
      <c r="P15" s="220"/>
      <c r="Q15" s="221">
        <v>1992</v>
      </c>
      <c r="R15" s="222">
        <v>0.67788577854183973</v>
      </c>
      <c r="S15" s="225">
        <f t="shared" si="2"/>
        <v>2.0976395818180116E-2</v>
      </c>
      <c r="T15" s="223"/>
      <c r="U15" s="223"/>
      <c r="V15" s="223"/>
      <c r="W15" s="223"/>
      <c r="X15" s="223"/>
      <c r="Y15" s="223"/>
      <c r="Z15" s="223"/>
      <c r="AA15" s="223"/>
      <c r="AB15" s="224"/>
      <c r="AD15" s="190"/>
      <c r="AE15" s="190"/>
      <c r="AF15" s="190"/>
      <c r="AG15" s="190"/>
      <c r="AH15" s="190"/>
    </row>
    <row r="16" spans="1:34" s="186" customFormat="1" ht="15" hidden="1" customHeight="1">
      <c r="A16" s="215">
        <f t="shared" si="1"/>
        <v>1993</v>
      </c>
      <c r="B16" s="216"/>
      <c r="C16" s="216"/>
      <c r="D16" s="216"/>
      <c r="E16" s="216"/>
      <c r="F16" s="217"/>
      <c r="G16" s="216"/>
      <c r="H16" s="216"/>
      <c r="I16" s="216"/>
      <c r="J16" s="216"/>
      <c r="K16" s="216"/>
      <c r="L16" s="216"/>
      <c r="M16" s="218"/>
      <c r="N16" s="187"/>
      <c r="O16" s="219"/>
      <c r="P16" s="220"/>
      <c r="Q16" s="221">
        <v>1993</v>
      </c>
      <c r="R16" s="222">
        <v>0.68113237804584836</v>
      </c>
      <c r="S16" s="225">
        <f t="shared" si="2"/>
        <v>4.7893016888365114E-3</v>
      </c>
      <c r="T16" s="223"/>
      <c r="U16" s="223"/>
      <c r="V16" s="223"/>
      <c r="W16" s="223"/>
      <c r="X16" s="223"/>
      <c r="Y16" s="223"/>
      <c r="Z16" s="223"/>
      <c r="AA16" s="223"/>
      <c r="AB16" s="224"/>
      <c r="AD16" s="190"/>
      <c r="AE16" s="190"/>
      <c r="AF16" s="190"/>
      <c r="AG16" s="190"/>
      <c r="AH16" s="190"/>
    </row>
    <row r="17" spans="1:34" s="186" customFormat="1" ht="15" hidden="1" customHeight="1">
      <c r="A17" s="215">
        <f t="shared" si="1"/>
        <v>1994</v>
      </c>
      <c r="B17" s="216"/>
      <c r="C17" s="216"/>
      <c r="D17" s="216"/>
      <c r="E17" s="216"/>
      <c r="F17" s="217"/>
      <c r="G17" s="216"/>
      <c r="H17" s="216"/>
      <c r="I17" s="216"/>
      <c r="J17" s="216"/>
      <c r="K17" s="216"/>
      <c r="L17" s="216"/>
      <c r="M17" s="218"/>
      <c r="N17" s="187"/>
      <c r="O17" s="219"/>
      <c r="P17" s="220"/>
      <c r="Q17" s="221">
        <v>1994</v>
      </c>
      <c r="R17" s="222">
        <v>0.691149948133849</v>
      </c>
      <c r="S17" s="225">
        <f t="shared" si="2"/>
        <v>1.4707229329988358E-2</v>
      </c>
      <c r="T17" s="223"/>
      <c r="U17" s="223"/>
      <c r="V17" s="223"/>
      <c r="W17" s="223"/>
      <c r="X17" s="223"/>
      <c r="Y17" s="223"/>
      <c r="Z17" s="223"/>
      <c r="AA17" s="223"/>
      <c r="AB17" s="224"/>
      <c r="AD17" s="190"/>
      <c r="AE17" s="190"/>
      <c r="AF17" s="190"/>
      <c r="AG17" s="190"/>
      <c r="AH17" s="190"/>
    </row>
    <row r="18" spans="1:34" s="186" customFormat="1" ht="15" hidden="1" customHeight="1">
      <c r="A18" s="215">
        <f t="shared" si="1"/>
        <v>1995</v>
      </c>
      <c r="B18" s="216"/>
      <c r="C18" s="216"/>
      <c r="D18" s="216"/>
      <c r="E18" s="216"/>
      <c r="F18" s="216"/>
      <c r="G18" s="216"/>
      <c r="H18" s="216"/>
      <c r="I18" s="216"/>
      <c r="J18" s="216"/>
      <c r="K18" s="216"/>
      <c r="L18" s="216"/>
      <c r="M18" s="218"/>
      <c r="N18" s="187"/>
      <c r="O18" s="219"/>
      <c r="P18" s="191"/>
      <c r="Q18" s="221">
        <v>1995</v>
      </c>
      <c r="R18" s="222">
        <v>0.69790566629112361</v>
      </c>
      <c r="S18" s="225">
        <f t="shared" si="2"/>
        <v>9.774605605506359E-3</v>
      </c>
      <c r="T18" s="223"/>
      <c r="U18" s="223"/>
      <c r="V18" s="223"/>
      <c r="W18" s="223"/>
      <c r="X18" s="223"/>
      <c r="Y18" s="223"/>
      <c r="Z18" s="223"/>
      <c r="AA18" s="223"/>
      <c r="AB18" s="224"/>
      <c r="AD18" s="190"/>
      <c r="AE18" s="190"/>
      <c r="AF18" s="190"/>
      <c r="AG18" s="190"/>
      <c r="AH18" s="190"/>
    </row>
    <row r="19" spans="1:34" s="186" customFormat="1" ht="15" hidden="1" customHeight="1">
      <c r="A19" s="215">
        <f t="shared" si="1"/>
        <v>1996</v>
      </c>
      <c r="B19" s="216"/>
      <c r="C19" s="216"/>
      <c r="D19" s="216"/>
      <c r="E19" s="216"/>
      <c r="F19" s="216"/>
      <c r="G19" s="216"/>
      <c r="H19" s="216"/>
      <c r="I19" s="216"/>
      <c r="J19" s="216"/>
      <c r="K19" s="216"/>
      <c r="L19" s="216"/>
      <c r="M19" s="218"/>
      <c r="N19" s="187"/>
      <c r="O19" s="219"/>
      <c r="P19" s="191"/>
      <c r="Q19" s="221">
        <v>1996</v>
      </c>
      <c r="R19" s="222">
        <v>0.71015784226507372</v>
      </c>
      <c r="S19" s="225">
        <f t="shared" si="2"/>
        <v>1.7555633326580944E-2</v>
      </c>
      <c r="T19" s="223"/>
      <c r="U19" s="223"/>
      <c r="V19" s="223"/>
      <c r="W19" s="223"/>
      <c r="X19" s="223"/>
      <c r="Y19" s="223"/>
      <c r="Z19" s="223"/>
      <c r="AA19" s="223"/>
      <c r="AB19" s="224"/>
      <c r="AD19" s="190"/>
      <c r="AE19" s="190"/>
      <c r="AF19" s="190"/>
      <c r="AG19" s="190"/>
      <c r="AH19" s="190"/>
    </row>
    <row r="20" spans="1:34" s="186" customFormat="1" ht="15" hidden="1" customHeight="1">
      <c r="A20" s="215">
        <f t="shared" si="1"/>
        <v>1997</v>
      </c>
      <c r="B20" s="216"/>
      <c r="C20" s="216"/>
      <c r="D20" s="216"/>
      <c r="E20" s="216"/>
      <c r="F20" s="216"/>
      <c r="G20" s="216"/>
      <c r="H20" s="216"/>
      <c r="I20" s="216"/>
      <c r="J20" s="216"/>
      <c r="K20" s="216"/>
      <c r="L20" s="216"/>
      <c r="M20" s="218"/>
      <c r="N20" s="187"/>
      <c r="O20" s="219"/>
      <c r="P20" s="191"/>
      <c r="Q20" s="221">
        <v>1997</v>
      </c>
      <c r="R20" s="222">
        <v>0.7234342957194968</v>
      </c>
      <c r="S20" s="225">
        <f t="shared" si="2"/>
        <v>1.8695074058574512E-2</v>
      </c>
      <c r="T20" s="223"/>
      <c r="U20" s="223"/>
      <c r="V20" s="223"/>
      <c r="W20" s="223"/>
      <c r="X20" s="223"/>
      <c r="Y20" s="223"/>
      <c r="Z20" s="223"/>
      <c r="AA20" s="223"/>
      <c r="AB20" s="224"/>
      <c r="AD20" s="190"/>
      <c r="AE20" s="190"/>
      <c r="AF20" s="190"/>
      <c r="AG20" s="190"/>
      <c r="AH20" s="190"/>
    </row>
    <row r="21" spans="1:34" s="186" customFormat="1" ht="15" hidden="1" customHeight="1">
      <c r="A21" s="215">
        <f t="shared" si="1"/>
        <v>1998</v>
      </c>
      <c r="B21" s="216"/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8"/>
      <c r="N21" s="187"/>
      <c r="O21" s="226"/>
      <c r="P21" s="191"/>
      <c r="Q21" s="221">
        <v>1998</v>
      </c>
      <c r="R21" s="222">
        <v>0.72851013107366369</v>
      </c>
      <c r="S21" s="225">
        <f t="shared" si="2"/>
        <v>7.016304568639109E-3</v>
      </c>
      <c r="T21" s="223"/>
      <c r="U21" s="223"/>
      <c r="V21" s="223"/>
      <c r="W21" s="223"/>
      <c r="X21" s="223"/>
      <c r="Y21" s="223"/>
      <c r="Z21" s="223"/>
      <c r="AA21" s="223"/>
      <c r="AB21" s="224"/>
      <c r="AD21" s="190"/>
      <c r="AE21" s="190"/>
      <c r="AF21" s="190"/>
      <c r="AG21" s="190"/>
      <c r="AH21" s="190"/>
    </row>
    <row r="22" spans="1:34" s="186" customFormat="1" ht="15" hidden="1" customHeight="1">
      <c r="A22" s="215">
        <f t="shared" si="1"/>
        <v>1999</v>
      </c>
      <c r="B22" s="216"/>
      <c r="C22" s="216"/>
      <c r="D22" s="216"/>
      <c r="E22" s="216"/>
      <c r="F22" s="216"/>
      <c r="G22" s="216"/>
      <c r="H22" s="216"/>
      <c r="I22" s="216"/>
      <c r="J22" s="216"/>
      <c r="K22" s="216"/>
      <c r="L22" s="216"/>
      <c r="M22" s="218"/>
      <c r="N22" s="187"/>
      <c r="O22" s="226"/>
      <c r="P22" s="191"/>
      <c r="Q22" s="221">
        <v>1999</v>
      </c>
      <c r="R22" s="222">
        <v>0.73927692059326633</v>
      </c>
      <c r="S22" s="225">
        <f t="shared" si="2"/>
        <v>1.4779189829158268E-2</v>
      </c>
      <c r="T22" s="223"/>
      <c r="U22" s="223"/>
      <c r="V22" s="223"/>
      <c r="W22" s="223"/>
      <c r="X22" s="223"/>
      <c r="Y22" s="223"/>
      <c r="Z22" s="223"/>
      <c r="AA22" s="223"/>
      <c r="AB22" s="224"/>
      <c r="AD22" s="190"/>
      <c r="AE22" s="190"/>
      <c r="AF22" s="190"/>
      <c r="AG22" s="190"/>
      <c r="AH22" s="190"/>
    </row>
    <row r="23" spans="1:34" s="186" customFormat="1" ht="15" hidden="1" customHeight="1">
      <c r="A23" s="215">
        <f t="shared" si="1"/>
        <v>2000</v>
      </c>
      <c r="B23" s="227"/>
      <c r="C23" s="227"/>
      <c r="D23" s="227"/>
      <c r="E23" s="227"/>
      <c r="F23" s="227"/>
      <c r="G23" s="227"/>
      <c r="H23" s="227"/>
      <c r="I23" s="227"/>
      <c r="J23" s="227"/>
      <c r="K23" s="227"/>
      <c r="L23" s="227"/>
      <c r="M23" s="228"/>
      <c r="N23" s="187"/>
      <c r="O23" s="229"/>
      <c r="P23" s="191"/>
      <c r="Q23" s="221">
        <v>2000</v>
      </c>
      <c r="R23" s="222">
        <v>0.76205348310400023</v>
      </c>
      <c r="S23" s="225">
        <f t="shared" si="2"/>
        <v>3.0809243297431621E-2</v>
      </c>
      <c r="T23" s="223"/>
      <c r="U23" s="223"/>
      <c r="V23" s="223"/>
      <c r="W23" s="223"/>
      <c r="X23" s="223"/>
      <c r="Y23" s="223"/>
      <c r="Z23" s="223"/>
      <c r="AA23" s="223"/>
      <c r="AB23" s="224"/>
      <c r="AD23" s="190"/>
      <c r="AE23" s="190"/>
      <c r="AF23" s="190"/>
      <c r="AG23" s="190"/>
      <c r="AH23" s="190"/>
    </row>
    <row r="24" spans="1:34" s="186" customFormat="1" ht="15" hidden="1" customHeight="1">
      <c r="A24" s="215">
        <f t="shared" si="1"/>
        <v>2001</v>
      </c>
      <c r="B24" s="227"/>
      <c r="C24" s="227"/>
      <c r="D24" s="227"/>
      <c r="E24" s="227"/>
      <c r="F24" s="227"/>
      <c r="G24" s="227"/>
      <c r="H24" s="227"/>
      <c r="I24" s="227"/>
      <c r="J24" s="227"/>
      <c r="K24" s="227"/>
      <c r="L24" s="227"/>
      <c r="M24" s="228"/>
      <c r="N24" s="187"/>
      <c r="O24" s="229"/>
      <c r="P24" s="191"/>
      <c r="Q24" s="221">
        <v>2001</v>
      </c>
      <c r="R24" s="222">
        <v>0.78065677402845424</v>
      </c>
      <c r="S24" s="225">
        <f t="shared" si="2"/>
        <v>2.4412054189003829E-2</v>
      </c>
      <c r="T24" s="223"/>
      <c r="U24" s="223"/>
      <c r="V24" s="223"/>
      <c r="W24" s="223"/>
      <c r="X24" s="223"/>
      <c r="Y24" s="223"/>
      <c r="Z24" s="223"/>
      <c r="AA24" s="223"/>
      <c r="AB24" s="224"/>
      <c r="AD24" s="190"/>
      <c r="AE24" s="190"/>
      <c r="AF24" s="190"/>
      <c r="AG24" s="190"/>
      <c r="AH24" s="190"/>
    </row>
    <row r="25" spans="1:34" s="186" customFormat="1" ht="15" hidden="1" customHeight="1">
      <c r="A25" s="215">
        <f t="shared" si="1"/>
        <v>2002</v>
      </c>
      <c r="B25" s="227"/>
      <c r="C25" s="227"/>
      <c r="D25" s="227"/>
      <c r="E25" s="227"/>
      <c r="F25" s="227"/>
      <c r="G25" s="227"/>
      <c r="H25" s="227"/>
      <c r="I25" s="227"/>
      <c r="J25" s="227"/>
      <c r="K25" s="227"/>
      <c r="L25" s="227"/>
      <c r="M25" s="228"/>
      <c r="N25" s="187"/>
      <c r="O25" s="229"/>
      <c r="P25" s="191"/>
      <c r="Q25" s="221">
        <v>2002</v>
      </c>
      <c r="R25" s="222">
        <v>0.79797378097370975</v>
      </c>
      <c r="S25" s="225">
        <f t="shared" si="2"/>
        <v>2.2182612796522339E-2</v>
      </c>
      <c r="T25" s="230"/>
      <c r="U25" s="230"/>
      <c r="V25" s="230"/>
      <c r="W25" s="230"/>
      <c r="X25" s="230"/>
      <c r="Y25" s="230"/>
      <c r="Z25" s="230"/>
      <c r="AA25" s="230"/>
      <c r="AB25" s="231"/>
      <c r="AD25" s="190"/>
      <c r="AE25" s="190"/>
      <c r="AF25" s="190"/>
      <c r="AG25" s="190"/>
      <c r="AH25" s="190"/>
    </row>
    <row r="26" spans="1:34" s="186" customFormat="1" ht="15" hidden="1" customHeight="1">
      <c r="A26" s="215">
        <f t="shared" si="1"/>
        <v>2003</v>
      </c>
      <c r="B26" s="227"/>
      <c r="C26" s="227"/>
      <c r="D26" s="227"/>
      <c r="E26" s="227"/>
      <c r="F26" s="227"/>
      <c r="G26" s="227"/>
      <c r="H26" s="227"/>
      <c r="I26" s="227"/>
      <c r="J26" s="227"/>
      <c r="K26" s="227"/>
      <c r="L26" s="227"/>
      <c r="M26" s="228"/>
      <c r="N26" s="187"/>
      <c r="O26" s="229"/>
      <c r="P26" s="191"/>
      <c r="Q26" s="221">
        <v>2003</v>
      </c>
      <c r="R26" s="222">
        <v>0.81230900976869758</v>
      </c>
      <c r="S26" s="225">
        <f t="shared" si="2"/>
        <v>1.7964536099789541E-2</v>
      </c>
      <c r="T26" s="230"/>
      <c r="U26" s="230"/>
      <c r="V26" s="230"/>
      <c r="W26" s="230"/>
      <c r="X26" s="230"/>
      <c r="Y26" s="230"/>
      <c r="Z26" s="230"/>
      <c r="AA26" s="230"/>
      <c r="AB26" s="231"/>
      <c r="AD26" s="190"/>
      <c r="AE26" s="190"/>
      <c r="AF26" s="190"/>
      <c r="AG26" s="190"/>
      <c r="AH26" s="190"/>
    </row>
    <row r="27" spans="1:34" s="186" customFormat="1" ht="15" hidden="1" customHeight="1">
      <c r="A27" s="215">
        <f t="shared" si="1"/>
        <v>2004</v>
      </c>
      <c r="B27" s="227"/>
      <c r="C27" s="227"/>
      <c r="D27" s="227"/>
      <c r="E27" s="227"/>
      <c r="F27" s="227"/>
      <c r="G27" s="227"/>
      <c r="H27" s="227"/>
      <c r="I27" s="227"/>
      <c r="J27" s="227"/>
      <c r="K27" s="227"/>
      <c r="L27" s="227"/>
      <c r="M27" s="228"/>
      <c r="N27" s="187"/>
      <c r="O27" s="229"/>
      <c r="Q27" s="221">
        <v>2004</v>
      </c>
      <c r="R27" s="222">
        <v>0.83450858367624536</v>
      </c>
      <c r="S27" s="225">
        <f t="shared" si="2"/>
        <v>2.7328976584747089E-2</v>
      </c>
      <c r="T27" s="230"/>
      <c r="U27" s="230"/>
      <c r="V27" s="230"/>
      <c r="W27" s="230"/>
      <c r="X27" s="230"/>
      <c r="Y27" s="230"/>
      <c r="Z27" s="230"/>
      <c r="AA27" s="230"/>
      <c r="AB27" s="231"/>
      <c r="AD27" s="190"/>
      <c r="AE27" s="190"/>
      <c r="AF27" s="190"/>
      <c r="AG27" s="190"/>
      <c r="AH27" s="190"/>
    </row>
    <row r="28" spans="1:34" s="186" customFormat="1" ht="15" hidden="1" customHeight="1">
      <c r="A28" s="215">
        <f t="shared" si="1"/>
        <v>2005</v>
      </c>
      <c r="B28" s="227"/>
      <c r="C28" s="227"/>
      <c r="D28" s="227"/>
      <c r="E28" s="227"/>
      <c r="F28" s="227"/>
      <c r="G28" s="232">
        <v>21.7777777777778</v>
      </c>
      <c r="H28" s="227"/>
      <c r="I28" s="227"/>
      <c r="J28" s="227"/>
      <c r="K28" s="227"/>
      <c r="L28" s="227"/>
      <c r="M28" s="228"/>
      <c r="N28" s="187"/>
      <c r="O28" s="229"/>
      <c r="Q28" s="221">
        <v>2005</v>
      </c>
      <c r="R28" s="222">
        <v>0.79200000000000004</v>
      </c>
      <c r="S28" s="225">
        <f t="shared" si="2"/>
        <v>-5.093846187774731E-2</v>
      </c>
      <c r="T28" s="230"/>
      <c r="U28" s="230"/>
      <c r="V28" s="230"/>
      <c r="W28" s="230"/>
      <c r="X28" s="230"/>
      <c r="Y28" s="230"/>
      <c r="Z28" s="230"/>
      <c r="AA28" s="230"/>
      <c r="AB28" s="231"/>
      <c r="AD28" s="190"/>
      <c r="AE28" s="190"/>
      <c r="AF28" s="190"/>
      <c r="AG28" s="190"/>
      <c r="AH28" s="190"/>
    </row>
    <row r="29" spans="1:34" s="186" customFormat="1" ht="15" hidden="1" customHeight="1">
      <c r="A29" s="215">
        <f t="shared" si="1"/>
        <v>2006</v>
      </c>
      <c r="B29" s="227"/>
      <c r="C29" s="227"/>
      <c r="D29" s="227"/>
      <c r="E29" s="227"/>
      <c r="F29" s="227"/>
      <c r="G29" s="232">
        <f t="shared" ref="G29:G37" si="3">G28+($G$38-$G$28)/10</f>
        <v>21.738888888888908</v>
      </c>
      <c r="H29" s="227"/>
      <c r="I29" s="227"/>
      <c r="J29" s="227"/>
      <c r="K29" s="227"/>
      <c r="L29" s="227"/>
      <c r="M29" s="228"/>
      <c r="N29" s="187"/>
      <c r="O29" s="229"/>
      <c r="Q29" s="221">
        <v>2006</v>
      </c>
      <c r="R29" s="222">
        <v>0.80900000000000005</v>
      </c>
      <c r="S29" s="225">
        <f t="shared" si="2"/>
        <v>2.1464646464646409E-2</v>
      </c>
      <c r="T29" s="230"/>
      <c r="U29" s="230"/>
      <c r="V29" s="230"/>
      <c r="W29" s="230"/>
      <c r="X29" s="230"/>
      <c r="Y29" s="230"/>
      <c r="Z29" s="230"/>
      <c r="AA29" s="230"/>
      <c r="AB29" s="231"/>
      <c r="AD29" s="190"/>
      <c r="AE29" s="190"/>
      <c r="AF29" s="190"/>
      <c r="AG29" s="190"/>
      <c r="AH29" s="190"/>
    </row>
    <row r="30" spans="1:34" s="186" customFormat="1" ht="15" hidden="1" customHeight="1">
      <c r="A30" s="215">
        <f t="shared" si="1"/>
        <v>2007</v>
      </c>
      <c r="B30" s="227"/>
      <c r="C30" s="227"/>
      <c r="D30" s="227"/>
      <c r="E30" s="227"/>
      <c r="F30" s="227"/>
      <c r="G30" s="232">
        <f t="shared" si="3"/>
        <v>21.700000000000017</v>
      </c>
      <c r="H30" s="227"/>
      <c r="I30" s="227"/>
      <c r="J30" s="227"/>
      <c r="K30" s="227"/>
      <c r="L30" s="227"/>
      <c r="M30" s="233">
        <v>5.8</v>
      </c>
      <c r="N30" s="187"/>
      <c r="O30" s="229"/>
      <c r="Q30" s="221">
        <v>2007</v>
      </c>
      <c r="R30" s="222">
        <v>0.83199999999999996</v>
      </c>
      <c r="S30" s="225">
        <f t="shared" si="2"/>
        <v>2.8430160692212603E-2</v>
      </c>
      <c r="T30" s="234"/>
      <c r="U30" s="234"/>
      <c r="V30" s="234"/>
      <c r="W30" s="234"/>
      <c r="X30" s="234"/>
      <c r="Y30" s="234"/>
      <c r="Z30" s="234"/>
      <c r="AA30" s="234"/>
      <c r="AB30" s="235"/>
      <c r="AC30" s="187"/>
      <c r="AD30" s="190"/>
      <c r="AE30" s="190"/>
      <c r="AF30" s="190"/>
      <c r="AG30" s="190"/>
      <c r="AH30" s="190"/>
    </row>
    <row r="31" spans="1:34" s="186" customFormat="1" hidden="1">
      <c r="A31" s="215">
        <f t="shared" si="1"/>
        <v>2008</v>
      </c>
      <c r="B31" s="227">
        <f>U31</f>
        <v>24.977484070457894</v>
      </c>
      <c r="C31" s="227">
        <f>0.92*B31</f>
        <v>22.979285344821264</v>
      </c>
      <c r="D31" s="227">
        <f t="shared" ref="D31:F33" si="4">V31</f>
        <v>61.199784192469501</v>
      </c>
      <c r="E31" s="227">
        <f t="shared" si="4"/>
        <v>107.86849170616813</v>
      </c>
      <c r="F31" s="227">
        <f t="shared" si="4"/>
        <v>53.225162597982759</v>
      </c>
      <c r="G31" s="232">
        <f t="shared" si="3"/>
        <v>21.661111111111126</v>
      </c>
      <c r="H31" s="227">
        <f>Y31</f>
        <v>38.956006926968257</v>
      </c>
      <c r="I31" s="227">
        <f>AA31</f>
        <v>58.121529051466005</v>
      </c>
      <c r="J31" s="232">
        <v>0.1</v>
      </c>
      <c r="K31" s="227">
        <v>0</v>
      </c>
      <c r="L31" s="227">
        <f>AB31</f>
        <v>62.704588689932855</v>
      </c>
      <c r="M31" s="233">
        <v>5.8</v>
      </c>
      <c r="N31" s="187"/>
      <c r="O31" s="229"/>
      <c r="Q31" s="221">
        <v>2008</v>
      </c>
      <c r="R31" s="222">
        <v>0.871</v>
      </c>
      <c r="S31" s="225">
        <f t="shared" si="2"/>
        <v>4.6875E-2</v>
      </c>
      <c r="T31" s="236">
        <v>84.85219547945205</v>
      </c>
      <c r="U31" s="236">
        <v>24.977484070457894</v>
      </c>
      <c r="V31" s="236">
        <v>61.199784192469501</v>
      </c>
      <c r="W31" s="236">
        <v>107.86849170616813</v>
      </c>
      <c r="X31" s="236">
        <v>53.225162597982759</v>
      </c>
      <c r="Y31" s="236">
        <v>38.956006926968257</v>
      </c>
      <c r="Z31" s="236">
        <v>44.268189689736658</v>
      </c>
      <c r="AA31" s="236">
        <v>58.121529051466005</v>
      </c>
      <c r="AB31" s="237">
        <v>62.704588689932855</v>
      </c>
      <c r="AC31" s="187"/>
      <c r="AD31" s="190"/>
      <c r="AE31" s="190"/>
      <c r="AF31" s="190"/>
      <c r="AG31" s="190"/>
      <c r="AH31" s="190"/>
    </row>
    <row r="32" spans="1:34" s="186" customFormat="1" hidden="1">
      <c r="A32" s="215">
        <f t="shared" si="1"/>
        <v>2009</v>
      </c>
      <c r="B32" s="227">
        <f>U32</f>
        <v>18.795174163521132</v>
      </c>
      <c r="C32" s="227">
        <f>0.92*B32</f>
        <v>17.29156023043944</v>
      </c>
      <c r="D32" s="227">
        <f t="shared" si="4"/>
        <v>41.058598647502464</v>
      </c>
      <c r="E32" s="227">
        <f t="shared" si="4"/>
        <v>71.902088947298409</v>
      </c>
      <c r="F32" s="227">
        <f t="shared" si="4"/>
        <v>36.269184792652958</v>
      </c>
      <c r="G32" s="232">
        <f t="shared" si="3"/>
        <v>21.622222222222234</v>
      </c>
      <c r="H32" s="227">
        <f>Y32</f>
        <v>42.080820316832018</v>
      </c>
      <c r="I32" s="227">
        <f>AA32</f>
        <v>67.70429011371489</v>
      </c>
      <c r="J32" s="232">
        <v>0.1</v>
      </c>
      <c r="K32" s="227">
        <v>0</v>
      </c>
      <c r="L32" s="227">
        <f>AB32</f>
        <v>62.592095407897759</v>
      </c>
      <c r="M32" s="233">
        <v>4.8600000000000003</v>
      </c>
      <c r="N32" s="187"/>
      <c r="O32" s="229"/>
      <c r="Q32" s="221">
        <v>2009</v>
      </c>
      <c r="R32" s="222">
        <v>0.876</v>
      </c>
      <c r="S32" s="225">
        <f>R32/R31-1</f>
        <v>5.7405281285878296E-3</v>
      </c>
      <c r="T32" s="236">
        <v>56.079073272356275</v>
      </c>
      <c r="U32" s="236">
        <v>18.795174163521132</v>
      </c>
      <c r="V32" s="236">
        <v>41.058598647502464</v>
      </c>
      <c r="W32" s="236">
        <v>71.902088947298409</v>
      </c>
      <c r="X32" s="236">
        <v>36.269184792652958</v>
      </c>
      <c r="Y32" s="236">
        <v>42.080820316832018</v>
      </c>
      <c r="Z32" s="236">
        <v>45.57592409339464</v>
      </c>
      <c r="AA32" s="236">
        <v>67.70429011371489</v>
      </c>
      <c r="AB32" s="237">
        <v>62.592095407897759</v>
      </c>
      <c r="AC32" s="187"/>
      <c r="AD32" s="190"/>
      <c r="AE32" s="190"/>
      <c r="AF32" s="190"/>
      <c r="AG32" s="190"/>
      <c r="AH32" s="190"/>
    </row>
    <row r="33" spans="1:34" s="186" customFormat="1">
      <c r="A33" s="215">
        <f t="shared" si="1"/>
        <v>2010</v>
      </c>
      <c r="B33" s="227">
        <f>U33</f>
        <v>15.0371929824561</v>
      </c>
      <c r="C33" s="227">
        <f>0.92*B33</f>
        <v>13.834217543859612</v>
      </c>
      <c r="D33" s="227">
        <f t="shared" si="4"/>
        <v>28.1954385964913</v>
      </c>
      <c r="E33" s="227">
        <f t="shared" si="4"/>
        <v>66.395438596491203</v>
      </c>
      <c r="F33" s="232">
        <f>X33</f>
        <v>16.887017543859699</v>
      </c>
      <c r="G33" s="232">
        <f t="shared" si="3"/>
        <v>21.583333333333343</v>
      </c>
      <c r="H33" s="227">
        <f>Y33</f>
        <v>39.925614035087698</v>
      </c>
      <c r="I33" s="232">
        <f>AA33</f>
        <v>50.760350877192998</v>
      </c>
      <c r="J33" s="232">
        <v>0.1</v>
      </c>
      <c r="K33" s="227">
        <v>0</v>
      </c>
      <c r="L33" s="227">
        <f>AB33</f>
        <v>39.6</v>
      </c>
      <c r="M33" s="233">
        <v>4.8600000000000003</v>
      </c>
      <c r="N33" s="187"/>
      <c r="O33" s="238">
        <f>($O$7*B33+(1-$O$7)*0.75*I33)/($O$7*B33+(1-$O$7)*I33)</f>
        <v>0.80713432485615089</v>
      </c>
      <c r="Q33" s="221">
        <v>2010</v>
      </c>
      <c r="R33" s="222">
        <v>0.90500000000000003</v>
      </c>
      <c r="S33" s="225">
        <f t="shared" ref="S33:S54" si="5">R33/R32-1</f>
        <v>3.3105022831050324E-2</v>
      </c>
      <c r="T33" s="462">
        <v>52.192982456140399</v>
      </c>
      <c r="U33" s="462">
        <v>15.0371929824561</v>
      </c>
      <c r="V33" s="462">
        <v>28.1954385964913</v>
      </c>
      <c r="W33" s="462">
        <v>66.395438596491203</v>
      </c>
      <c r="X33" s="462">
        <v>16.887017543859699</v>
      </c>
      <c r="Y33" s="462">
        <v>39.925614035087698</v>
      </c>
      <c r="Z33" s="462">
        <v>46.648070175438598</v>
      </c>
      <c r="AA33" s="462">
        <v>50.760350877192998</v>
      </c>
      <c r="AB33" s="237">
        <v>39.6</v>
      </c>
      <c r="AC33" s="187"/>
      <c r="AD33" s="190"/>
      <c r="AE33" s="190"/>
      <c r="AF33" s="190"/>
      <c r="AG33" s="190"/>
      <c r="AH33" s="190"/>
    </row>
    <row r="34" spans="1:34" s="186" customFormat="1">
      <c r="A34" s="215">
        <f t="shared" si="1"/>
        <v>2011</v>
      </c>
      <c r="B34" s="227">
        <f>U34</f>
        <v>15.2263157894737</v>
      </c>
      <c r="C34" s="227">
        <f>0.92*B34</f>
        <v>14.008210526315805</v>
      </c>
      <c r="D34" s="227">
        <f>V34</f>
        <v>31.018421052631599</v>
      </c>
      <c r="E34" s="227">
        <f>W34</f>
        <v>69.218421052631598</v>
      </c>
      <c r="F34" s="232">
        <f>X34</f>
        <v>19.226315789473698</v>
      </c>
      <c r="G34" s="232">
        <f t="shared" si="3"/>
        <v>21.544444444444451</v>
      </c>
      <c r="H34" s="227">
        <f>Y34</f>
        <v>40.2789473684211</v>
      </c>
      <c r="I34" s="232">
        <f>AA34</f>
        <v>51.739473684210502</v>
      </c>
      <c r="J34" s="232">
        <v>0.1</v>
      </c>
      <c r="K34" s="227">
        <v>0</v>
      </c>
      <c r="L34" s="227">
        <f>AB34</f>
        <v>42.08630147042328</v>
      </c>
      <c r="M34" s="233">
        <v>5.72</v>
      </c>
      <c r="N34" s="187"/>
      <c r="O34" s="238">
        <f t="shared" ref="O34:O63" si="6">($O$7*B34+(1-$O$7)*0.75*I34)/($O$7*B34+(1-$O$7)*I34)</f>
        <v>0.80684363579203844</v>
      </c>
      <c r="Q34" s="221">
        <v>2011</v>
      </c>
      <c r="R34" s="222">
        <v>0.91</v>
      </c>
      <c r="S34" s="225">
        <f t="shared" si="5"/>
        <v>5.5248618784531356E-3</v>
      </c>
      <c r="T34" s="462">
        <v>54.678947368421099</v>
      </c>
      <c r="U34" s="462">
        <v>15.2263157894737</v>
      </c>
      <c r="V34" s="462">
        <v>31.018421052631599</v>
      </c>
      <c r="W34" s="462">
        <v>69.218421052631598</v>
      </c>
      <c r="X34" s="462">
        <v>19.226315789473698</v>
      </c>
      <c r="Y34" s="462">
        <v>40.2789473684211</v>
      </c>
      <c r="Z34" s="462">
        <v>47.060526315789502</v>
      </c>
      <c r="AA34" s="462">
        <v>51.739473684210502</v>
      </c>
      <c r="AB34" s="240">
        <v>42.08630147042328</v>
      </c>
      <c r="AC34" s="187"/>
      <c r="AD34" s="190"/>
      <c r="AE34" s="190"/>
      <c r="AF34" s="190"/>
      <c r="AG34" s="190"/>
      <c r="AH34" s="190"/>
    </row>
    <row r="35" spans="1:34" s="186" customFormat="1">
      <c r="A35" s="215">
        <f t="shared" si="1"/>
        <v>2012</v>
      </c>
      <c r="B35" s="227">
        <f t="shared" ref="B35:B58" si="7">U35*$B$7</f>
        <v>15.4154385964912</v>
      </c>
      <c r="C35" s="227">
        <f t="shared" ref="C35:C58" si="8">0.92*B35*$C$7</f>
        <v>14.182203508771904</v>
      </c>
      <c r="D35" s="227">
        <f t="shared" ref="D35:D58" si="9">V35*$D$7</f>
        <v>33.841403508771897</v>
      </c>
      <c r="E35" s="227">
        <f>W35*$E$7</f>
        <v>72.041403508771893</v>
      </c>
      <c r="F35" s="227">
        <f t="shared" ref="F35:F58" si="10">X35*$F$7</f>
        <v>21.565614035087702</v>
      </c>
      <c r="G35" s="232">
        <f t="shared" si="3"/>
        <v>21.50555555555556</v>
      </c>
      <c r="H35" s="227">
        <f t="shared" ref="H35:H58" si="11">Y35*$H$7</f>
        <v>40.632280701754397</v>
      </c>
      <c r="I35" s="227">
        <f t="shared" ref="I35:I58" si="12">AA35*$I$7</f>
        <v>52.718596491228098</v>
      </c>
      <c r="J35" s="232">
        <v>0.1</v>
      </c>
      <c r="K35" s="227">
        <v>0</v>
      </c>
      <c r="L35" s="227">
        <f t="shared" ref="L35:L63" si="13">AB35*$L$7</f>
        <v>42.582207665166258</v>
      </c>
      <c r="M35" s="233">
        <v>5.72</v>
      </c>
      <c r="N35" s="187"/>
      <c r="O35" s="238">
        <f t="shared" si="6"/>
        <v>0.80656291520326284</v>
      </c>
      <c r="Q35" s="221">
        <v>2012</v>
      </c>
      <c r="R35" s="222">
        <v>0.93600000000000005</v>
      </c>
      <c r="S35" s="225">
        <f t="shared" si="5"/>
        <v>2.8571428571428692E-2</v>
      </c>
      <c r="T35" s="463">
        <v>57.164912280701799</v>
      </c>
      <c r="U35" s="462">
        <v>15.4154385964912</v>
      </c>
      <c r="V35" s="462">
        <v>33.841403508771897</v>
      </c>
      <c r="W35" s="462">
        <v>72.041403508771893</v>
      </c>
      <c r="X35" s="462">
        <v>21.565614035087702</v>
      </c>
      <c r="Y35" s="462">
        <v>40.632280701754397</v>
      </c>
      <c r="Z35" s="462">
        <v>47.4729824561404</v>
      </c>
      <c r="AA35" s="462">
        <v>52.718596491228098</v>
      </c>
      <c r="AB35" s="240">
        <v>42.582207665166258</v>
      </c>
      <c r="AC35" s="187"/>
      <c r="AD35" s="190"/>
      <c r="AE35" s="190"/>
      <c r="AF35" s="190"/>
      <c r="AG35" s="190"/>
      <c r="AH35" s="190"/>
    </row>
    <row r="36" spans="1:34" s="186" customFormat="1">
      <c r="A36" s="215">
        <f t="shared" si="1"/>
        <v>2013</v>
      </c>
      <c r="B36" s="227">
        <f t="shared" si="7"/>
        <v>15.6045614035088</v>
      </c>
      <c r="C36" s="227">
        <f t="shared" si="8"/>
        <v>14.356196491228097</v>
      </c>
      <c r="D36" s="227">
        <f t="shared" si="9"/>
        <v>36.664385964912299</v>
      </c>
      <c r="E36" s="227">
        <f t="shared" ref="E36:E58" si="14">W36*$E$7</f>
        <v>74.864385964912302</v>
      </c>
      <c r="F36" s="227">
        <f t="shared" si="10"/>
        <v>23.904912280701801</v>
      </c>
      <c r="G36" s="232">
        <f t="shared" si="3"/>
        <v>21.466666666666669</v>
      </c>
      <c r="H36" s="227">
        <f t="shared" si="11"/>
        <v>40.9856140350877</v>
      </c>
      <c r="I36" s="227">
        <f t="shared" si="12"/>
        <v>53.697719298245602</v>
      </c>
      <c r="J36" s="232">
        <v>0.1</v>
      </c>
      <c r="K36" s="227">
        <v>0</v>
      </c>
      <c r="L36" s="227">
        <f t="shared" si="13"/>
        <v>43.058648190203208</v>
      </c>
      <c r="M36" s="233">
        <v>5.72</v>
      </c>
      <c r="N36" s="187"/>
      <c r="O36" s="238">
        <f t="shared" si="6"/>
        <v>0.80629165896669319</v>
      </c>
      <c r="Q36" s="221">
        <v>2013</v>
      </c>
      <c r="R36" s="222">
        <v>0.95199999999999996</v>
      </c>
      <c r="S36" s="225">
        <f t="shared" si="5"/>
        <v>1.7094017094017033E-2</v>
      </c>
      <c r="T36" s="463">
        <v>59.650877192982499</v>
      </c>
      <c r="U36" s="462">
        <v>15.6045614035088</v>
      </c>
      <c r="V36" s="462">
        <v>36.664385964912299</v>
      </c>
      <c r="W36" s="462">
        <v>74.864385964912302</v>
      </c>
      <c r="X36" s="462">
        <v>23.904912280701801</v>
      </c>
      <c r="Y36" s="462">
        <v>40.9856140350877</v>
      </c>
      <c r="Z36" s="462">
        <v>47.885438596491198</v>
      </c>
      <c r="AA36" s="462">
        <v>53.697719298245602</v>
      </c>
      <c r="AB36" s="240">
        <v>43.058648190203208</v>
      </c>
      <c r="AC36" s="187"/>
      <c r="AD36" s="190"/>
      <c r="AE36" s="190"/>
      <c r="AF36" s="190"/>
      <c r="AG36" s="190"/>
      <c r="AH36" s="190"/>
    </row>
    <row r="37" spans="1:34" s="186" customFormat="1">
      <c r="A37" s="215">
        <f t="shared" si="1"/>
        <v>2014</v>
      </c>
      <c r="B37" s="227">
        <f t="shared" si="7"/>
        <v>15.793684210526299</v>
      </c>
      <c r="C37" s="227">
        <f t="shared" si="8"/>
        <v>14.530189473684196</v>
      </c>
      <c r="D37" s="227">
        <f t="shared" si="9"/>
        <v>39.487368421052601</v>
      </c>
      <c r="E37" s="227">
        <f t="shared" si="14"/>
        <v>77.687368421052597</v>
      </c>
      <c r="F37" s="227">
        <f t="shared" si="10"/>
        <v>26.244210526315801</v>
      </c>
      <c r="G37" s="232">
        <f t="shared" si="3"/>
        <v>21.427777777777777</v>
      </c>
      <c r="H37" s="227">
        <f t="shared" si="11"/>
        <v>41.338947368421103</v>
      </c>
      <c r="I37" s="227">
        <f t="shared" si="12"/>
        <v>54.676842105263198</v>
      </c>
      <c r="J37" s="232">
        <v>0.1</v>
      </c>
      <c r="K37" s="227">
        <v>0</v>
      </c>
      <c r="L37" s="227">
        <f t="shared" si="13"/>
        <v>43.543129647567142</v>
      </c>
      <c r="M37" s="233">
        <v>5.72</v>
      </c>
      <c r="N37" s="187"/>
      <c r="O37" s="238">
        <f t="shared" si="6"/>
        <v>0.8060293963881876</v>
      </c>
      <c r="Q37" s="221">
        <v>2014</v>
      </c>
      <c r="R37" s="222">
        <v>0.96099999999999997</v>
      </c>
      <c r="S37" s="225">
        <f t="shared" si="5"/>
        <v>9.4537815126050084E-3</v>
      </c>
      <c r="T37" s="463">
        <v>62.136842105263199</v>
      </c>
      <c r="U37" s="462">
        <v>15.793684210526299</v>
      </c>
      <c r="V37" s="462">
        <v>39.487368421052601</v>
      </c>
      <c r="W37" s="462">
        <v>77.687368421052597</v>
      </c>
      <c r="X37" s="462">
        <v>26.244210526315801</v>
      </c>
      <c r="Y37" s="462">
        <v>41.338947368421103</v>
      </c>
      <c r="Z37" s="462">
        <v>48.297894736842103</v>
      </c>
      <c r="AA37" s="462">
        <v>54.676842105263198</v>
      </c>
      <c r="AB37" s="240">
        <v>43.543129647567142</v>
      </c>
      <c r="AC37" s="187"/>
      <c r="AD37" s="190"/>
      <c r="AE37" s="190"/>
      <c r="AF37" s="190"/>
      <c r="AG37" s="190"/>
      <c r="AH37" s="190"/>
    </row>
    <row r="38" spans="1:34" s="186" customFormat="1">
      <c r="A38" s="215">
        <f t="shared" si="1"/>
        <v>2015</v>
      </c>
      <c r="B38" s="227">
        <f t="shared" si="7"/>
        <v>15.9828070175439</v>
      </c>
      <c r="C38" s="227">
        <f t="shared" si="8"/>
        <v>14.704182456140389</v>
      </c>
      <c r="D38" s="227">
        <f t="shared" si="9"/>
        <v>42.310350877193002</v>
      </c>
      <c r="E38" s="227">
        <f t="shared" si="14"/>
        <v>80.510350877193005</v>
      </c>
      <c r="F38" s="227">
        <f t="shared" si="10"/>
        <v>28.5835087719298</v>
      </c>
      <c r="G38" s="232">
        <f>110*0.7/3.6</f>
        <v>21.388888888888889</v>
      </c>
      <c r="H38" s="227">
        <f t="shared" si="11"/>
        <v>41.692280701754399</v>
      </c>
      <c r="I38" s="227">
        <f t="shared" si="12"/>
        <v>55.655964912280702</v>
      </c>
      <c r="J38" s="232">
        <v>0.1</v>
      </c>
      <c r="K38" s="227">
        <v>0</v>
      </c>
      <c r="L38" s="227">
        <f t="shared" si="13"/>
        <v>44.02994969069907</v>
      </c>
      <c r="M38" s="233">
        <v>5.72</v>
      </c>
      <c r="N38" s="187"/>
      <c r="O38" s="238">
        <f t="shared" si="6"/>
        <v>0.80577568747688832</v>
      </c>
      <c r="Q38" s="221">
        <v>2015</v>
      </c>
      <c r="R38" s="222">
        <v>0.97599999999999998</v>
      </c>
      <c r="S38" s="225">
        <f t="shared" si="5"/>
        <v>1.5608740894901052E-2</v>
      </c>
      <c r="T38" s="463">
        <v>64.622807017543906</v>
      </c>
      <c r="U38" s="462">
        <v>15.9828070175439</v>
      </c>
      <c r="V38" s="462">
        <v>42.310350877193002</v>
      </c>
      <c r="W38" s="462">
        <v>80.510350877193005</v>
      </c>
      <c r="X38" s="462">
        <v>28.5835087719298</v>
      </c>
      <c r="Y38" s="462">
        <v>41.692280701754399</v>
      </c>
      <c r="Z38" s="462">
        <v>48.710350877193001</v>
      </c>
      <c r="AA38" s="462">
        <v>55.655964912280702</v>
      </c>
      <c r="AB38" s="240">
        <v>44.02994969069907</v>
      </c>
      <c r="AC38" s="187"/>
      <c r="AD38" s="190"/>
      <c r="AE38" s="190"/>
      <c r="AF38" s="190"/>
      <c r="AG38" s="190"/>
      <c r="AH38" s="190"/>
    </row>
    <row r="39" spans="1:34" s="186" customFormat="1">
      <c r="A39" s="215">
        <f t="shared" si="1"/>
        <v>2016</v>
      </c>
      <c r="B39" s="227">
        <f t="shared" si="7"/>
        <v>16.171929824561399</v>
      </c>
      <c r="C39" s="227">
        <f t="shared" si="8"/>
        <v>14.878175438596488</v>
      </c>
      <c r="D39" s="227">
        <f t="shared" si="9"/>
        <v>45.133333333333297</v>
      </c>
      <c r="E39" s="227">
        <f>W39*$E$7</f>
        <v>83.3333333333333</v>
      </c>
      <c r="F39" s="227">
        <f t="shared" si="10"/>
        <v>30.922807017543899</v>
      </c>
      <c r="G39" s="232">
        <f>G38+($G$48-$G$38)/10</f>
        <v>21.738888888888887</v>
      </c>
      <c r="H39" s="227">
        <f t="shared" si="11"/>
        <v>42.045614035087702</v>
      </c>
      <c r="I39" s="227">
        <f t="shared" si="12"/>
        <v>56.635087719298198</v>
      </c>
      <c r="J39" s="232">
        <v>0.1</v>
      </c>
      <c r="K39" s="227">
        <v>0</v>
      </c>
      <c r="L39" s="227">
        <f t="shared" si="13"/>
        <v>44.53405044190179</v>
      </c>
      <c r="M39" s="233">
        <v>5.72</v>
      </c>
      <c r="N39" s="187"/>
      <c r="O39" s="238">
        <f t="shared" si="6"/>
        <v>0.80553012048192774</v>
      </c>
      <c r="Q39" s="221">
        <v>2016</v>
      </c>
      <c r="R39" s="222">
        <v>0.98199999999999998</v>
      </c>
      <c r="S39" s="225">
        <f t="shared" si="5"/>
        <v>6.1475409836064809E-3</v>
      </c>
      <c r="T39" s="464">
        <v>67.108771929824599</v>
      </c>
      <c r="U39" s="465">
        <v>16.171929824561399</v>
      </c>
      <c r="V39" s="465">
        <v>45.133333333333297</v>
      </c>
      <c r="W39" s="465">
        <v>83.3333333333333</v>
      </c>
      <c r="X39" s="465">
        <v>30.922807017543899</v>
      </c>
      <c r="Y39" s="465">
        <v>42.045614035087702</v>
      </c>
      <c r="Z39" s="465">
        <v>49.122807017543899</v>
      </c>
      <c r="AA39" s="465">
        <v>56.635087719298198</v>
      </c>
      <c r="AB39" s="240">
        <v>44.53405044190179</v>
      </c>
      <c r="AC39" s="187"/>
      <c r="AD39" s="190"/>
      <c r="AE39" s="190"/>
      <c r="AF39" s="190"/>
      <c r="AG39" s="190"/>
      <c r="AH39" s="190"/>
    </row>
    <row r="40" spans="1:34" s="186" customFormat="1">
      <c r="A40" s="215">
        <f t="shared" si="1"/>
        <v>2017</v>
      </c>
      <c r="B40" s="227">
        <f>U40*$B$7</f>
        <v>16.100000000000001</v>
      </c>
      <c r="C40" s="227">
        <f t="shared" si="8"/>
        <v>14.812000000000001</v>
      </c>
      <c r="D40" s="227">
        <f t="shared" si="9"/>
        <v>34.9</v>
      </c>
      <c r="E40" s="227">
        <f t="shared" si="14"/>
        <v>73.099999999999994</v>
      </c>
      <c r="F40" s="227">
        <f t="shared" si="10"/>
        <v>34.1</v>
      </c>
      <c r="G40" s="232">
        <f t="shared" ref="G40:G47" si="15">G39+($G$48-$G$38)/10</f>
        <v>22.088888888888889</v>
      </c>
      <c r="H40" s="227">
        <f t="shared" si="11"/>
        <v>41.7</v>
      </c>
      <c r="I40" s="227">
        <f t="shared" si="12"/>
        <v>50.1</v>
      </c>
      <c r="J40" s="232">
        <v>0.1</v>
      </c>
      <c r="K40" s="227">
        <v>0</v>
      </c>
      <c r="L40" s="227">
        <f t="shared" si="13"/>
        <v>45.045559339639325</v>
      </c>
      <c r="M40" s="233">
        <v>5.72</v>
      </c>
      <c r="N40" s="187"/>
      <c r="O40" s="238">
        <f t="shared" si="6"/>
        <v>0.81080060422960731</v>
      </c>
      <c r="Q40" s="221">
        <v>2017</v>
      </c>
      <c r="R40" s="222">
        <v>1</v>
      </c>
      <c r="S40" s="225">
        <f>R40/R39-1</f>
        <v>1.8329938900203624E-2</v>
      </c>
      <c r="T40" s="445">
        <v>59.9</v>
      </c>
      <c r="U40" s="445">
        <v>16.100000000000001</v>
      </c>
      <c r="V40" s="445">
        <v>34.9</v>
      </c>
      <c r="W40" s="445">
        <v>73.099999999999994</v>
      </c>
      <c r="X40" s="445">
        <v>34.1</v>
      </c>
      <c r="Y40" s="445">
        <v>41.7</v>
      </c>
      <c r="Z40" s="445">
        <v>48.7</v>
      </c>
      <c r="AA40" s="445">
        <v>50.1</v>
      </c>
      <c r="AB40" s="240">
        <v>45.045559339639325</v>
      </c>
      <c r="AC40" s="187"/>
      <c r="AD40" s="190"/>
      <c r="AE40" s="190"/>
      <c r="AF40" s="190"/>
      <c r="AG40" s="190"/>
      <c r="AH40" s="190"/>
    </row>
    <row r="41" spans="1:34" s="186" customFormat="1">
      <c r="A41" s="215">
        <f t="shared" si="1"/>
        <v>2018</v>
      </c>
      <c r="B41" s="227">
        <f t="shared" si="7"/>
        <v>19</v>
      </c>
      <c r="C41" s="227">
        <f t="shared" si="8"/>
        <v>17.48</v>
      </c>
      <c r="D41" s="227">
        <f t="shared" si="9"/>
        <v>44.5</v>
      </c>
      <c r="E41" s="227">
        <f t="shared" si="14"/>
        <v>82.7</v>
      </c>
      <c r="F41" s="227">
        <f t="shared" si="10"/>
        <v>39.200000000000003</v>
      </c>
      <c r="G41" s="232">
        <f t="shared" si="15"/>
        <v>22.43888888888889</v>
      </c>
      <c r="H41" s="227">
        <f t="shared" si="11"/>
        <v>42.8</v>
      </c>
      <c r="I41" s="227">
        <f t="shared" si="12"/>
        <v>52</v>
      </c>
      <c r="J41" s="232">
        <v>0.1</v>
      </c>
      <c r="K41" s="227">
        <v>0</v>
      </c>
      <c r="L41" s="227">
        <f t="shared" si="13"/>
        <v>45.564589582432241</v>
      </c>
      <c r="M41" s="233">
        <v>5.72</v>
      </c>
      <c r="N41" s="187"/>
      <c r="O41" s="238">
        <f t="shared" si="6"/>
        <v>0.81690140845070425</v>
      </c>
      <c r="Q41" s="221">
        <v>2018</v>
      </c>
      <c r="R41" s="222">
        <v>1.02</v>
      </c>
      <c r="S41" s="225">
        <f t="shared" si="5"/>
        <v>2.0000000000000018E-2</v>
      </c>
      <c r="T41" s="445">
        <v>67.8</v>
      </c>
      <c r="U41" s="445">
        <v>19</v>
      </c>
      <c r="V41" s="445">
        <v>44.5</v>
      </c>
      <c r="W41" s="445">
        <v>82.7</v>
      </c>
      <c r="X41" s="445">
        <v>39.200000000000003</v>
      </c>
      <c r="Y41" s="445">
        <v>42.8</v>
      </c>
      <c r="Z41" s="445">
        <v>50</v>
      </c>
      <c r="AA41" s="445">
        <v>52</v>
      </c>
      <c r="AB41" s="240">
        <v>45.564589582432241</v>
      </c>
      <c r="AC41" s="187"/>
      <c r="AD41" s="190"/>
      <c r="AE41" s="190"/>
      <c r="AF41" s="190"/>
      <c r="AG41" s="190"/>
      <c r="AH41" s="190"/>
    </row>
    <row r="42" spans="1:34" s="186" customFormat="1">
      <c r="A42" s="215">
        <f t="shared" si="1"/>
        <v>2019</v>
      </c>
      <c r="B42" s="227">
        <f t="shared" si="7"/>
        <v>16.5</v>
      </c>
      <c r="C42" s="227">
        <f t="shared" si="8"/>
        <v>15.180000000000001</v>
      </c>
      <c r="D42" s="227">
        <f t="shared" si="9"/>
        <v>52.4</v>
      </c>
      <c r="E42" s="227">
        <f t="shared" si="14"/>
        <v>90.6</v>
      </c>
      <c r="F42" s="227">
        <f t="shared" si="10"/>
        <v>39.299999999999997</v>
      </c>
      <c r="G42" s="232">
        <f t="shared" si="15"/>
        <v>22.788888888888891</v>
      </c>
      <c r="H42" s="227">
        <f t="shared" si="11"/>
        <v>43.1</v>
      </c>
      <c r="I42" s="227">
        <f t="shared" si="12"/>
        <v>58.6</v>
      </c>
      <c r="J42" s="232">
        <v>0.1</v>
      </c>
      <c r="K42" s="227">
        <v>0</v>
      </c>
      <c r="L42" s="227">
        <f t="shared" si="13"/>
        <v>46.096881013302266</v>
      </c>
      <c r="M42" s="233">
        <v>5.72</v>
      </c>
      <c r="N42" s="187"/>
      <c r="O42" s="238">
        <f t="shared" si="6"/>
        <v>0.80492676431424781</v>
      </c>
      <c r="Q42" s="221">
        <v>2019</v>
      </c>
      <c r="R42" s="222">
        <v>1.042</v>
      </c>
      <c r="S42" s="225">
        <f t="shared" si="5"/>
        <v>2.1568627450980316E-2</v>
      </c>
      <c r="T42" s="445">
        <v>73.599999999999994</v>
      </c>
      <c r="U42" s="445">
        <v>16.5</v>
      </c>
      <c r="V42" s="445">
        <v>52.4</v>
      </c>
      <c r="W42" s="445">
        <v>90.6</v>
      </c>
      <c r="X42" s="445">
        <v>39.299999999999997</v>
      </c>
      <c r="Y42" s="445">
        <v>43.1</v>
      </c>
      <c r="Z42" s="445">
        <v>50.4</v>
      </c>
      <c r="AA42" s="445">
        <v>58.6</v>
      </c>
      <c r="AB42" s="240">
        <v>46.096881013302266</v>
      </c>
      <c r="AC42" s="187"/>
      <c r="AD42" s="190"/>
      <c r="AE42" s="190"/>
      <c r="AF42" s="190"/>
      <c r="AG42" s="190"/>
      <c r="AH42" s="190"/>
    </row>
    <row r="43" spans="1:34" s="186" customFormat="1">
      <c r="A43" s="215">
        <f t="shared" si="1"/>
        <v>2020</v>
      </c>
      <c r="B43" s="227">
        <f t="shared" si="7"/>
        <v>16.100000000000001</v>
      </c>
      <c r="C43" s="227">
        <f t="shared" si="8"/>
        <v>14.812000000000001</v>
      </c>
      <c r="D43" s="227">
        <f t="shared" si="9"/>
        <v>58.1</v>
      </c>
      <c r="E43" s="227">
        <f t="shared" si="14"/>
        <v>96.3</v>
      </c>
      <c r="F43" s="227">
        <f t="shared" si="10"/>
        <v>39.200000000000003</v>
      </c>
      <c r="G43" s="232">
        <f t="shared" si="15"/>
        <v>23.138888888888893</v>
      </c>
      <c r="H43" s="227">
        <f t="shared" si="11"/>
        <v>43.5</v>
      </c>
      <c r="I43" s="227">
        <f t="shared" si="12"/>
        <v>61.2</v>
      </c>
      <c r="J43" s="232">
        <v>0.1</v>
      </c>
      <c r="K43" s="227">
        <v>0</v>
      </c>
      <c r="L43" s="227">
        <f t="shared" si="13"/>
        <v>46.63706372717472</v>
      </c>
      <c r="M43" s="233">
        <v>5.72</v>
      </c>
      <c r="N43" s="187"/>
      <c r="O43" s="238">
        <f t="shared" si="6"/>
        <v>0.80206985769728334</v>
      </c>
      <c r="Q43" s="221">
        <v>2020</v>
      </c>
      <c r="R43" s="222">
        <v>1.0649999999999999</v>
      </c>
      <c r="S43" s="225">
        <f t="shared" si="5"/>
        <v>2.207293666026855E-2</v>
      </c>
      <c r="T43" s="445">
        <v>78.7</v>
      </c>
      <c r="U43" s="445">
        <v>16.100000000000001</v>
      </c>
      <c r="V43" s="445">
        <v>58.1</v>
      </c>
      <c r="W43" s="445">
        <v>96.3</v>
      </c>
      <c r="X43" s="445">
        <v>39.200000000000003</v>
      </c>
      <c r="Y43" s="445">
        <v>43.5</v>
      </c>
      <c r="Z43" s="445">
        <v>50.8</v>
      </c>
      <c r="AA43" s="445">
        <v>61.2</v>
      </c>
      <c r="AB43" s="240">
        <v>46.63706372717472</v>
      </c>
      <c r="AC43" s="187"/>
      <c r="AD43" s="190"/>
      <c r="AE43" s="190"/>
      <c r="AF43" s="190"/>
      <c r="AG43" s="190"/>
      <c r="AH43" s="190"/>
    </row>
    <row r="44" spans="1:34" s="186" customFormat="1">
      <c r="A44" s="215">
        <f t="shared" si="1"/>
        <v>2021</v>
      </c>
      <c r="B44" s="227">
        <f t="shared" si="7"/>
        <v>16.399999999999999</v>
      </c>
      <c r="C44" s="227">
        <f t="shared" si="8"/>
        <v>15.087999999999999</v>
      </c>
      <c r="D44" s="227">
        <f t="shared" si="9"/>
        <v>63.2</v>
      </c>
      <c r="E44" s="227">
        <f t="shared" si="14"/>
        <v>101.4</v>
      </c>
      <c r="F44" s="227">
        <f t="shared" si="10"/>
        <v>39.1</v>
      </c>
      <c r="G44" s="232">
        <f t="shared" si="15"/>
        <v>23.488888888888894</v>
      </c>
      <c r="H44" s="227">
        <f t="shared" si="11"/>
        <v>43.8</v>
      </c>
      <c r="I44" s="227">
        <f t="shared" si="12"/>
        <v>63.2</v>
      </c>
      <c r="J44" s="232">
        <v>0.1</v>
      </c>
      <c r="K44" s="227">
        <v>0</v>
      </c>
      <c r="L44" s="227">
        <f t="shared" si="13"/>
        <v>47.183751633324654</v>
      </c>
      <c r="M44" s="233">
        <v>5.72</v>
      </c>
      <c r="N44" s="187"/>
      <c r="O44" s="238">
        <f t="shared" si="6"/>
        <v>0.8015075376884423</v>
      </c>
      <c r="Q44" s="221">
        <v>2021</v>
      </c>
      <c r="R44" s="222">
        <v>1.087</v>
      </c>
      <c r="S44" s="225">
        <f t="shared" si="5"/>
        <v>2.0657276995305285E-2</v>
      </c>
      <c r="T44" s="445">
        <v>83.7</v>
      </c>
      <c r="U44" s="445">
        <v>16.399999999999999</v>
      </c>
      <c r="V44" s="445">
        <v>63.2</v>
      </c>
      <c r="W44" s="445">
        <v>101.4</v>
      </c>
      <c r="X44" s="445">
        <v>39.1</v>
      </c>
      <c r="Y44" s="445">
        <v>43.8</v>
      </c>
      <c r="Z44" s="445">
        <v>51.2</v>
      </c>
      <c r="AA44" s="445">
        <v>63.2</v>
      </c>
      <c r="AB44" s="240">
        <v>47.183751633324654</v>
      </c>
      <c r="AC44" s="187"/>
      <c r="AD44" s="190"/>
      <c r="AE44" s="190"/>
      <c r="AF44" s="190"/>
      <c r="AG44" s="190"/>
      <c r="AH44" s="190"/>
    </row>
    <row r="45" spans="1:34" s="186" customFormat="1">
      <c r="A45" s="215">
        <f t="shared" si="1"/>
        <v>2022</v>
      </c>
      <c r="B45" s="227">
        <f t="shared" si="7"/>
        <v>16.8</v>
      </c>
      <c r="C45" s="227">
        <f t="shared" si="8"/>
        <v>15.456000000000001</v>
      </c>
      <c r="D45" s="227">
        <f t="shared" si="9"/>
        <v>68.3</v>
      </c>
      <c r="E45" s="227">
        <f t="shared" si="14"/>
        <v>106.5</v>
      </c>
      <c r="F45" s="227">
        <f t="shared" si="10"/>
        <v>42.4</v>
      </c>
      <c r="G45" s="232">
        <f t="shared" si="15"/>
        <v>23.838888888888896</v>
      </c>
      <c r="H45" s="227">
        <f t="shared" si="11"/>
        <v>44.2</v>
      </c>
      <c r="I45" s="227">
        <f t="shared" si="12"/>
        <v>67.400000000000006</v>
      </c>
      <c r="J45" s="232">
        <v>0.1</v>
      </c>
      <c r="K45" s="227">
        <v>0</v>
      </c>
      <c r="L45" s="227">
        <f t="shared" si="13"/>
        <v>47.738569336505741</v>
      </c>
      <c r="M45" s="233">
        <v>5.72</v>
      </c>
      <c r="N45" s="187"/>
      <c r="O45" s="238">
        <f t="shared" si="6"/>
        <v>0.79988123515439435</v>
      </c>
      <c r="Q45" s="221">
        <v>2022</v>
      </c>
      <c r="R45" s="222">
        <v>1.107</v>
      </c>
      <c r="S45" s="225">
        <f t="shared" si="5"/>
        <v>1.8399264029438811E-2</v>
      </c>
      <c r="T45" s="445">
        <v>86</v>
      </c>
      <c r="U45" s="445">
        <v>16.8</v>
      </c>
      <c r="V45" s="445">
        <v>68.3</v>
      </c>
      <c r="W45" s="445">
        <v>106.5</v>
      </c>
      <c r="X45" s="445">
        <v>42.4</v>
      </c>
      <c r="Y45" s="445">
        <v>44.2</v>
      </c>
      <c r="Z45" s="445">
        <v>51.6</v>
      </c>
      <c r="AA45" s="445">
        <v>67.400000000000006</v>
      </c>
      <c r="AB45" s="240">
        <v>47.738569336505741</v>
      </c>
      <c r="AC45" s="187"/>
      <c r="AD45" s="190"/>
      <c r="AE45" s="190"/>
      <c r="AF45" s="190"/>
      <c r="AG45" s="190"/>
      <c r="AH45" s="190"/>
    </row>
    <row r="46" spans="1:34" s="186" customFormat="1">
      <c r="A46" s="215">
        <f t="shared" si="1"/>
        <v>2023</v>
      </c>
      <c r="B46" s="227">
        <f t="shared" si="7"/>
        <v>17.100000000000001</v>
      </c>
      <c r="C46" s="227">
        <f t="shared" si="8"/>
        <v>15.732000000000003</v>
      </c>
      <c r="D46" s="227">
        <f t="shared" si="9"/>
        <v>70.5</v>
      </c>
      <c r="E46" s="227">
        <f t="shared" si="14"/>
        <v>108.7</v>
      </c>
      <c r="F46" s="227">
        <f t="shared" si="10"/>
        <v>45.7</v>
      </c>
      <c r="G46" s="232">
        <f t="shared" si="15"/>
        <v>24.188888888888897</v>
      </c>
      <c r="H46" s="227">
        <f t="shared" si="11"/>
        <v>44.6</v>
      </c>
      <c r="I46" s="227">
        <f t="shared" si="12"/>
        <v>67.8</v>
      </c>
      <c r="J46" s="232">
        <v>0.1</v>
      </c>
      <c r="K46" s="227">
        <v>0</v>
      </c>
      <c r="L46" s="227">
        <f t="shared" si="13"/>
        <v>48.301638783673454</v>
      </c>
      <c r="M46" s="233">
        <v>5.72</v>
      </c>
      <c r="N46" s="187"/>
      <c r="O46" s="238">
        <f t="shared" si="6"/>
        <v>0.80035335689045917</v>
      </c>
      <c r="Q46" s="221">
        <v>2023</v>
      </c>
      <c r="R46" s="222">
        <v>1.1299999999999999</v>
      </c>
      <c r="S46" s="225">
        <f t="shared" si="5"/>
        <v>2.0776874435410875E-2</v>
      </c>
      <c r="T46" s="445">
        <v>88</v>
      </c>
      <c r="U46" s="445">
        <v>17.100000000000001</v>
      </c>
      <c r="V46" s="445">
        <v>70.5</v>
      </c>
      <c r="W46" s="445">
        <v>108.7</v>
      </c>
      <c r="X46" s="445">
        <v>45.7</v>
      </c>
      <c r="Y46" s="445">
        <v>44.6</v>
      </c>
      <c r="Z46" s="445">
        <v>52.1</v>
      </c>
      <c r="AA46" s="445">
        <v>67.8</v>
      </c>
      <c r="AB46" s="240">
        <v>48.301638783673454</v>
      </c>
      <c r="AC46" s="187"/>
      <c r="AD46" s="190"/>
      <c r="AE46" s="190"/>
      <c r="AF46" s="190"/>
      <c r="AG46" s="190"/>
      <c r="AH46" s="190"/>
    </row>
    <row r="47" spans="1:34" s="186" customFormat="1">
      <c r="A47" s="215">
        <f t="shared" si="1"/>
        <v>2024</v>
      </c>
      <c r="B47" s="227">
        <f t="shared" si="7"/>
        <v>17.5</v>
      </c>
      <c r="C47" s="227">
        <f t="shared" si="8"/>
        <v>16.100000000000001</v>
      </c>
      <c r="D47" s="227">
        <f t="shared" si="9"/>
        <v>72.5</v>
      </c>
      <c r="E47" s="227">
        <f t="shared" si="14"/>
        <v>110.7</v>
      </c>
      <c r="F47" s="227">
        <f t="shared" si="10"/>
        <v>48.8</v>
      </c>
      <c r="G47" s="232">
        <f t="shared" si="15"/>
        <v>24.538888888888899</v>
      </c>
      <c r="H47" s="227">
        <f t="shared" si="11"/>
        <v>45</v>
      </c>
      <c r="I47" s="227">
        <f t="shared" si="12"/>
        <v>68.2</v>
      </c>
      <c r="J47" s="232">
        <v>0.1</v>
      </c>
      <c r="K47" s="227">
        <v>0</v>
      </c>
      <c r="L47" s="227">
        <f t="shared" si="13"/>
        <v>48.87308375098759</v>
      </c>
      <c r="M47" s="233">
        <v>5.72</v>
      </c>
      <c r="N47" s="187"/>
      <c r="O47" s="238">
        <f t="shared" si="6"/>
        <v>0.80105017502917153</v>
      </c>
      <c r="Q47" s="221">
        <v>2024</v>
      </c>
      <c r="R47" s="222">
        <v>1.153</v>
      </c>
      <c r="S47" s="225">
        <f t="shared" si="5"/>
        <v>2.0353982300885143E-2</v>
      </c>
      <c r="T47" s="445">
        <v>89.6</v>
      </c>
      <c r="U47" s="445">
        <v>17.5</v>
      </c>
      <c r="V47" s="445">
        <v>72.5</v>
      </c>
      <c r="W47" s="445">
        <v>110.7</v>
      </c>
      <c r="X47" s="445">
        <v>48.8</v>
      </c>
      <c r="Y47" s="445">
        <v>45</v>
      </c>
      <c r="Z47" s="445">
        <v>52.6</v>
      </c>
      <c r="AA47" s="445">
        <v>68.2</v>
      </c>
      <c r="AB47" s="240">
        <v>48.87308375098759</v>
      </c>
      <c r="AC47" s="187"/>
      <c r="AD47" s="190"/>
      <c r="AE47" s="190"/>
      <c r="AF47" s="190"/>
      <c r="AG47" s="190"/>
      <c r="AH47" s="190"/>
    </row>
    <row r="48" spans="1:34" s="186" customFormat="1">
      <c r="A48" s="215">
        <f t="shared" si="1"/>
        <v>2025</v>
      </c>
      <c r="B48" s="227">
        <f t="shared" si="7"/>
        <v>17.8</v>
      </c>
      <c r="C48" s="227">
        <f t="shared" si="8"/>
        <v>16.376000000000001</v>
      </c>
      <c r="D48" s="227">
        <f t="shared" si="9"/>
        <v>74.2</v>
      </c>
      <c r="E48" s="227">
        <f t="shared" si="14"/>
        <v>112.4</v>
      </c>
      <c r="F48" s="227">
        <f t="shared" si="10"/>
        <v>51.7</v>
      </c>
      <c r="G48" s="232">
        <f>128*0.7/3.6</f>
        <v>24.888888888888886</v>
      </c>
      <c r="H48" s="227">
        <f t="shared" si="11"/>
        <v>45.4</v>
      </c>
      <c r="I48" s="227">
        <f t="shared" si="12"/>
        <v>68.599999999999994</v>
      </c>
      <c r="J48" s="232">
        <v>0.1</v>
      </c>
      <c r="K48" s="227">
        <v>0</v>
      </c>
      <c r="L48" s="227">
        <f t="shared" si="13"/>
        <v>49.453029871250344</v>
      </c>
      <c r="M48" s="233">
        <v>5.72</v>
      </c>
      <c r="N48" s="187"/>
      <c r="O48" s="238">
        <f t="shared" si="6"/>
        <v>0.80150462962962976</v>
      </c>
      <c r="Q48" s="221">
        <v>2025</v>
      </c>
      <c r="R48" s="222">
        <v>1.1779999999999999</v>
      </c>
      <c r="S48" s="225">
        <f t="shared" si="5"/>
        <v>2.1682567215958182E-2</v>
      </c>
      <c r="T48" s="445">
        <v>91</v>
      </c>
      <c r="U48" s="445">
        <v>17.8</v>
      </c>
      <c r="V48" s="445">
        <v>74.2</v>
      </c>
      <c r="W48" s="445">
        <v>112.4</v>
      </c>
      <c r="X48" s="445">
        <v>51.7</v>
      </c>
      <c r="Y48" s="445">
        <v>45.4</v>
      </c>
      <c r="Z48" s="445">
        <v>53</v>
      </c>
      <c r="AA48" s="445">
        <v>68.599999999999994</v>
      </c>
      <c r="AB48" s="240">
        <v>49.453029871250344</v>
      </c>
      <c r="AC48" s="187"/>
      <c r="AD48" s="190"/>
      <c r="AE48" s="190"/>
      <c r="AF48" s="190"/>
      <c r="AG48" s="190"/>
      <c r="AH48" s="190"/>
    </row>
    <row r="49" spans="1:50">
      <c r="A49" s="215">
        <f t="shared" si="1"/>
        <v>2026</v>
      </c>
      <c r="B49" s="227">
        <f t="shared" si="7"/>
        <v>18</v>
      </c>
      <c r="C49" s="227">
        <f t="shared" si="8"/>
        <v>16.560000000000002</v>
      </c>
      <c r="D49" s="227">
        <f t="shared" si="9"/>
        <v>75.5</v>
      </c>
      <c r="E49" s="227">
        <f t="shared" si="14"/>
        <v>113.7</v>
      </c>
      <c r="F49" s="227">
        <f t="shared" si="10"/>
        <v>54.5</v>
      </c>
      <c r="G49" s="232">
        <f t="shared" ref="G49:G63" si="16">G48</f>
        <v>24.888888888888886</v>
      </c>
      <c r="H49" s="227">
        <f t="shared" si="11"/>
        <v>45.8</v>
      </c>
      <c r="I49" s="227">
        <f t="shared" si="12"/>
        <v>69</v>
      </c>
      <c r="J49" s="232">
        <v>0.1</v>
      </c>
      <c r="K49" s="227">
        <v>0</v>
      </c>
      <c r="L49" s="227">
        <f t="shared" si="13"/>
        <v>50.040382288030358</v>
      </c>
      <c r="M49" s="233">
        <v>5.72</v>
      </c>
      <c r="O49" s="238">
        <f t="shared" si="6"/>
        <v>0.80172413793103448</v>
      </c>
      <c r="Q49" s="221">
        <v>2026</v>
      </c>
      <c r="R49" s="222">
        <v>1.2010000000000001</v>
      </c>
      <c r="S49" s="225">
        <f t="shared" si="5"/>
        <v>1.9524617996604432E-2</v>
      </c>
      <c r="T49" s="445">
        <v>93.6</v>
      </c>
      <c r="U49" s="445">
        <v>18</v>
      </c>
      <c r="V49" s="445">
        <v>75.5</v>
      </c>
      <c r="W49" s="445">
        <v>113.7</v>
      </c>
      <c r="X49" s="445">
        <v>54.5</v>
      </c>
      <c r="Y49" s="445">
        <v>45.8</v>
      </c>
      <c r="Z49" s="445">
        <v>53.5</v>
      </c>
      <c r="AA49" s="445">
        <v>69</v>
      </c>
      <c r="AB49" s="240">
        <v>50.040382288030358</v>
      </c>
      <c r="AC49" s="187"/>
      <c r="AG49" s="190"/>
      <c r="AH49" s="190"/>
      <c r="AI49" s="186"/>
      <c r="AJ49" s="186"/>
      <c r="AK49" s="186"/>
      <c r="AL49" s="186"/>
      <c r="AM49" s="186"/>
      <c r="AN49" s="186"/>
      <c r="AO49" s="186"/>
      <c r="AP49" s="186"/>
      <c r="AQ49" s="186"/>
      <c r="AR49" s="186"/>
      <c r="AS49" s="186"/>
      <c r="AT49" s="186"/>
      <c r="AU49" s="186"/>
      <c r="AV49" s="186"/>
      <c r="AW49" s="186"/>
      <c r="AX49" s="186"/>
    </row>
    <row r="50" spans="1:50">
      <c r="A50" s="215">
        <f t="shared" si="1"/>
        <v>2027</v>
      </c>
      <c r="B50" s="227">
        <f t="shared" si="7"/>
        <v>18.3</v>
      </c>
      <c r="C50" s="227">
        <f t="shared" si="8"/>
        <v>16.836000000000002</v>
      </c>
      <c r="D50" s="227">
        <f t="shared" si="9"/>
        <v>78.099999999999994</v>
      </c>
      <c r="E50" s="227">
        <f t="shared" si="14"/>
        <v>116.3</v>
      </c>
      <c r="F50" s="227">
        <f t="shared" si="10"/>
        <v>57.2</v>
      </c>
      <c r="G50" s="232">
        <f t="shared" si="16"/>
        <v>24.888888888888886</v>
      </c>
      <c r="H50" s="227">
        <f t="shared" si="11"/>
        <v>46.1</v>
      </c>
      <c r="I50" s="227">
        <f t="shared" si="12"/>
        <v>69.400000000000006</v>
      </c>
      <c r="J50" s="232">
        <v>0.1</v>
      </c>
      <c r="K50" s="227">
        <v>0</v>
      </c>
      <c r="L50" s="227">
        <f t="shared" si="13"/>
        <v>50.636492805106855</v>
      </c>
      <c r="M50" s="233">
        <v>5.72</v>
      </c>
      <c r="O50" s="238">
        <f t="shared" si="6"/>
        <v>0.80216647662485752</v>
      </c>
      <c r="Q50" s="221">
        <v>2027</v>
      </c>
      <c r="R50" s="222">
        <v>1.2250000000000001</v>
      </c>
      <c r="S50" s="225">
        <f t="shared" si="5"/>
        <v>1.9983347210657865E-2</v>
      </c>
      <c r="T50" s="445">
        <v>96.1</v>
      </c>
      <c r="U50" s="445">
        <v>18.3</v>
      </c>
      <c r="V50" s="445">
        <v>78.099999999999994</v>
      </c>
      <c r="W50" s="445">
        <v>116.3</v>
      </c>
      <c r="X50" s="445">
        <v>57.2</v>
      </c>
      <c r="Y50" s="445">
        <v>46.1</v>
      </c>
      <c r="Z50" s="445">
        <v>53.9</v>
      </c>
      <c r="AA50" s="445">
        <v>69.400000000000006</v>
      </c>
      <c r="AB50" s="240">
        <v>50.636492805106855</v>
      </c>
      <c r="AC50" s="187"/>
      <c r="AG50" s="190"/>
      <c r="AH50" s="190"/>
      <c r="AI50" s="186"/>
      <c r="AJ50" s="186"/>
      <c r="AK50" s="186"/>
      <c r="AL50" s="186"/>
      <c r="AM50" s="186"/>
      <c r="AN50" s="186"/>
      <c r="AO50" s="186"/>
      <c r="AP50" s="186"/>
      <c r="AQ50" s="186"/>
      <c r="AR50" s="186"/>
      <c r="AS50" s="186"/>
      <c r="AT50" s="186"/>
      <c r="AU50" s="186"/>
      <c r="AV50" s="186"/>
      <c r="AW50" s="186"/>
      <c r="AX50" s="186"/>
    </row>
    <row r="51" spans="1:50">
      <c r="A51" s="215">
        <f t="shared" si="1"/>
        <v>2028</v>
      </c>
      <c r="B51" s="227">
        <f t="shared" si="7"/>
        <v>18.5</v>
      </c>
      <c r="C51" s="227">
        <f t="shared" si="8"/>
        <v>17.02</v>
      </c>
      <c r="D51" s="227">
        <f t="shared" si="9"/>
        <v>80.599999999999994</v>
      </c>
      <c r="E51" s="227">
        <f t="shared" si="14"/>
        <v>118.8</v>
      </c>
      <c r="F51" s="227">
        <f t="shared" si="10"/>
        <v>59.9</v>
      </c>
      <c r="G51" s="232">
        <f t="shared" si="16"/>
        <v>24.888888888888886</v>
      </c>
      <c r="H51" s="227">
        <f t="shared" si="11"/>
        <v>46.5</v>
      </c>
      <c r="I51" s="227">
        <f t="shared" si="12"/>
        <v>69.8</v>
      </c>
      <c r="J51" s="232">
        <v>0.1</v>
      </c>
      <c r="K51" s="227">
        <v>0</v>
      </c>
      <c r="L51" s="227">
        <f t="shared" si="13"/>
        <v>51.2414927939843</v>
      </c>
      <c r="M51" s="233">
        <v>5.72</v>
      </c>
      <c r="O51" s="238">
        <f t="shared" si="6"/>
        <v>0.80237825594563983</v>
      </c>
      <c r="Q51" s="221">
        <v>2028</v>
      </c>
      <c r="R51" s="222">
        <v>1.25</v>
      </c>
      <c r="S51" s="225">
        <f t="shared" si="5"/>
        <v>2.0408163265306145E-2</v>
      </c>
      <c r="T51" s="445">
        <v>98.4</v>
      </c>
      <c r="U51" s="445">
        <v>18.5</v>
      </c>
      <c r="V51" s="445">
        <v>80.599999999999994</v>
      </c>
      <c r="W51" s="445">
        <v>118.8</v>
      </c>
      <c r="X51" s="445">
        <v>59.9</v>
      </c>
      <c r="Y51" s="445">
        <v>46.5</v>
      </c>
      <c r="Z51" s="445">
        <v>54.3</v>
      </c>
      <c r="AA51" s="445">
        <v>69.8</v>
      </c>
      <c r="AB51" s="240">
        <v>51.2414927939843</v>
      </c>
      <c r="AC51" s="187"/>
      <c r="AG51" s="190"/>
      <c r="AH51" s="190"/>
      <c r="AI51" s="186"/>
      <c r="AJ51" s="186"/>
      <c r="AK51" s="186"/>
      <c r="AL51" s="186"/>
      <c r="AM51" s="186"/>
      <c r="AN51" s="186"/>
      <c r="AO51" s="186"/>
      <c r="AP51" s="186"/>
      <c r="AQ51" s="186"/>
      <c r="AR51" s="186"/>
      <c r="AS51" s="186"/>
      <c r="AT51" s="186"/>
      <c r="AU51" s="186"/>
      <c r="AV51" s="186"/>
      <c r="AW51" s="186"/>
      <c r="AX51" s="186"/>
    </row>
    <row r="52" spans="1:50">
      <c r="A52" s="215">
        <f t="shared" si="1"/>
        <v>2029</v>
      </c>
      <c r="B52" s="227">
        <f t="shared" si="7"/>
        <v>18.8</v>
      </c>
      <c r="C52" s="227">
        <f t="shared" si="8"/>
        <v>17.296000000000003</v>
      </c>
      <c r="D52" s="227">
        <f t="shared" si="9"/>
        <v>83</v>
      </c>
      <c r="E52" s="227">
        <f t="shared" si="14"/>
        <v>121.2</v>
      </c>
      <c r="F52" s="227">
        <f t="shared" si="10"/>
        <v>62.4</v>
      </c>
      <c r="G52" s="232">
        <f t="shared" si="16"/>
        <v>24.888888888888886</v>
      </c>
      <c r="H52" s="227">
        <f t="shared" si="11"/>
        <v>46.8</v>
      </c>
      <c r="I52" s="227">
        <f t="shared" si="12"/>
        <v>70.099999999999994</v>
      </c>
      <c r="J52" s="232">
        <v>0.1</v>
      </c>
      <c r="K52" s="227">
        <v>0</v>
      </c>
      <c r="L52" s="227">
        <f t="shared" si="13"/>
        <v>51.855515596739693</v>
      </c>
      <c r="M52" s="233">
        <v>5.72</v>
      </c>
      <c r="O52" s="238">
        <f t="shared" si="6"/>
        <v>0.8028683914510687</v>
      </c>
      <c r="Q52" s="221">
        <v>2029</v>
      </c>
      <c r="R52" s="222">
        <v>1.274</v>
      </c>
      <c r="S52" s="225">
        <f t="shared" si="5"/>
        <v>1.9200000000000106E-2</v>
      </c>
      <c r="T52" s="445">
        <v>100.7</v>
      </c>
      <c r="U52" s="445">
        <v>18.8</v>
      </c>
      <c r="V52" s="445">
        <v>83</v>
      </c>
      <c r="W52" s="445">
        <v>121.2</v>
      </c>
      <c r="X52" s="445">
        <v>62.4</v>
      </c>
      <c r="Y52" s="445">
        <v>46.8</v>
      </c>
      <c r="Z52" s="445">
        <v>54.7</v>
      </c>
      <c r="AA52" s="445">
        <v>70.099999999999994</v>
      </c>
      <c r="AB52" s="240">
        <v>51.855515596739693</v>
      </c>
      <c r="AC52" s="187"/>
      <c r="AG52" s="190"/>
      <c r="AH52" s="190"/>
      <c r="AI52" s="186"/>
      <c r="AJ52" s="186"/>
      <c r="AK52" s="186"/>
      <c r="AL52" s="186"/>
      <c r="AM52" s="186"/>
      <c r="AN52" s="186"/>
      <c r="AO52" s="186"/>
      <c r="AP52" s="186"/>
      <c r="AQ52" s="186"/>
      <c r="AR52" s="186"/>
      <c r="AS52" s="186"/>
      <c r="AT52" s="186"/>
      <c r="AU52" s="186"/>
      <c r="AV52" s="186"/>
      <c r="AW52" s="186"/>
      <c r="AX52" s="186"/>
    </row>
    <row r="53" spans="1:50">
      <c r="A53" s="215">
        <f t="shared" si="1"/>
        <v>2030</v>
      </c>
      <c r="B53" s="227">
        <f t="shared" si="7"/>
        <v>19</v>
      </c>
      <c r="C53" s="227">
        <f t="shared" si="8"/>
        <v>17.48</v>
      </c>
      <c r="D53" s="227">
        <f t="shared" si="9"/>
        <v>85.2</v>
      </c>
      <c r="E53" s="227">
        <f t="shared" si="14"/>
        <v>123.4</v>
      </c>
      <c r="F53" s="227">
        <f t="shared" si="10"/>
        <v>64.900000000000006</v>
      </c>
      <c r="G53" s="232">
        <f t="shared" si="16"/>
        <v>24.888888888888886</v>
      </c>
      <c r="H53" s="227">
        <f t="shared" si="11"/>
        <v>47.2</v>
      </c>
      <c r="I53" s="227">
        <f t="shared" si="12"/>
        <v>70.5</v>
      </c>
      <c r="J53" s="232">
        <v>0.1</v>
      </c>
      <c r="K53" s="227">
        <v>0</v>
      </c>
      <c r="L53" s="227">
        <f t="shared" si="13"/>
        <v>52.478696555581216</v>
      </c>
      <c r="M53" s="233">
        <v>5.72</v>
      </c>
      <c r="O53" s="238">
        <f t="shared" si="6"/>
        <v>0.80307262569832405</v>
      </c>
      <c r="Q53" s="221">
        <v>2030</v>
      </c>
      <c r="R53" s="222">
        <v>1.2989999999999999</v>
      </c>
      <c r="S53" s="225">
        <f t="shared" si="5"/>
        <v>1.9623233908948157E-2</v>
      </c>
      <c r="T53" s="445">
        <v>102.8</v>
      </c>
      <c r="U53" s="445">
        <v>19</v>
      </c>
      <c r="V53" s="445">
        <v>85.2</v>
      </c>
      <c r="W53" s="445">
        <v>123.4</v>
      </c>
      <c r="X53" s="445">
        <v>64.900000000000006</v>
      </c>
      <c r="Y53" s="445">
        <v>47.2</v>
      </c>
      <c r="Z53" s="445">
        <v>55.1</v>
      </c>
      <c r="AA53" s="445">
        <v>70.5</v>
      </c>
      <c r="AB53" s="240">
        <v>52.478696555581216</v>
      </c>
      <c r="AC53" s="187"/>
      <c r="AG53" s="190"/>
      <c r="AH53" s="190"/>
      <c r="AI53" s="186"/>
      <c r="AJ53" s="186"/>
      <c r="AK53" s="186"/>
      <c r="AL53" s="186"/>
      <c r="AM53" s="186"/>
      <c r="AN53" s="186"/>
      <c r="AO53" s="186"/>
      <c r="AP53" s="186"/>
      <c r="AQ53" s="186"/>
      <c r="AR53" s="186"/>
      <c r="AS53" s="186"/>
      <c r="AT53" s="186"/>
      <c r="AU53" s="186"/>
      <c r="AV53" s="186"/>
      <c r="AW53" s="186"/>
      <c r="AX53" s="186"/>
    </row>
    <row r="54" spans="1:50">
      <c r="A54" s="215">
        <f t="shared" si="1"/>
        <v>2031</v>
      </c>
      <c r="B54" s="227">
        <f t="shared" si="7"/>
        <v>19.2</v>
      </c>
      <c r="C54" s="227">
        <f t="shared" si="8"/>
        <v>17.664000000000001</v>
      </c>
      <c r="D54" s="227">
        <f t="shared" si="9"/>
        <v>87.4</v>
      </c>
      <c r="E54" s="227">
        <f t="shared" si="14"/>
        <v>125.6</v>
      </c>
      <c r="F54" s="227">
        <f t="shared" si="10"/>
        <v>67.3</v>
      </c>
      <c r="G54" s="232">
        <f t="shared" si="16"/>
        <v>24.888888888888886</v>
      </c>
      <c r="H54" s="227">
        <f t="shared" si="11"/>
        <v>47.5</v>
      </c>
      <c r="I54" s="227">
        <f t="shared" si="12"/>
        <v>70.900000000000006</v>
      </c>
      <c r="J54" s="232">
        <v>0.1</v>
      </c>
      <c r="K54" s="227">
        <v>0</v>
      </c>
      <c r="L54" s="227">
        <f t="shared" si="13"/>
        <v>53.110232755368912</v>
      </c>
      <c r="M54" s="233">
        <v>5.72</v>
      </c>
      <c r="O54" s="238">
        <f t="shared" si="6"/>
        <v>0.80327413984461704</v>
      </c>
      <c r="Q54" s="221">
        <v>2031</v>
      </c>
      <c r="R54" s="222">
        <v>1.325</v>
      </c>
      <c r="S54" s="241">
        <f t="shared" si="5"/>
        <v>2.0015396458814561E-2</v>
      </c>
      <c r="T54" s="448">
        <v>104.6</v>
      </c>
      <c r="U54" s="445">
        <v>19.2</v>
      </c>
      <c r="V54" s="445">
        <v>87.4</v>
      </c>
      <c r="W54" s="445">
        <v>125.6</v>
      </c>
      <c r="X54" s="445">
        <v>67.3</v>
      </c>
      <c r="Y54" s="445">
        <v>47.5</v>
      </c>
      <c r="Z54" s="445">
        <v>55.5</v>
      </c>
      <c r="AA54" s="445">
        <v>70.900000000000006</v>
      </c>
      <c r="AB54" s="240">
        <v>53.110232755368912</v>
      </c>
      <c r="AC54" s="187"/>
      <c r="AG54" s="190"/>
      <c r="AH54" s="190"/>
      <c r="AI54" s="186"/>
      <c r="AJ54" s="186"/>
      <c r="AK54" s="186"/>
      <c r="AL54" s="186"/>
      <c r="AM54" s="186"/>
      <c r="AN54" s="186"/>
      <c r="AO54" s="186"/>
      <c r="AP54" s="186"/>
      <c r="AQ54" s="186"/>
      <c r="AR54" s="186"/>
      <c r="AS54" s="186"/>
      <c r="AT54" s="186"/>
      <c r="AU54" s="186"/>
      <c r="AV54" s="186"/>
      <c r="AW54" s="186"/>
      <c r="AX54" s="186"/>
    </row>
    <row r="55" spans="1:50">
      <c r="A55" s="215">
        <f t="shared" si="1"/>
        <v>2032</v>
      </c>
      <c r="B55" s="227">
        <f t="shared" si="7"/>
        <v>19.3</v>
      </c>
      <c r="C55" s="227">
        <f t="shared" si="8"/>
        <v>17.756</v>
      </c>
      <c r="D55" s="227">
        <f t="shared" si="9"/>
        <v>89.2</v>
      </c>
      <c r="E55" s="227">
        <f t="shared" si="14"/>
        <v>127.4</v>
      </c>
      <c r="F55" s="227">
        <f t="shared" si="10"/>
        <v>69.099999999999994</v>
      </c>
      <c r="G55" s="232">
        <f t="shared" si="16"/>
        <v>24.888888888888886</v>
      </c>
      <c r="H55" s="227">
        <f t="shared" si="11"/>
        <v>47.7</v>
      </c>
      <c r="I55" s="227">
        <f t="shared" si="12"/>
        <v>71.099999999999994</v>
      </c>
      <c r="J55" s="232">
        <v>0.1</v>
      </c>
      <c r="K55" s="227">
        <v>0</v>
      </c>
      <c r="L55" s="227">
        <f t="shared" si="13"/>
        <v>53.751203916510448</v>
      </c>
      <c r="M55" s="233">
        <v>5.72</v>
      </c>
      <c r="O55" s="238">
        <f t="shared" si="6"/>
        <v>0.80337389380530977</v>
      </c>
      <c r="Q55" s="221">
        <v>2032</v>
      </c>
      <c r="R55" s="222">
        <v>1.351</v>
      </c>
      <c r="S55" s="241">
        <f>R55/R54-1</f>
        <v>1.9622641509434047E-2</v>
      </c>
      <c r="T55" s="448">
        <v>106.2</v>
      </c>
      <c r="U55" s="445">
        <v>19.3</v>
      </c>
      <c r="V55" s="445">
        <v>89.2</v>
      </c>
      <c r="W55" s="445">
        <v>127.4</v>
      </c>
      <c r="X55" s="445">
        <v>69.099999999999994</v>
      </c>
      <c r="Y55" s="445">
        <v>47.7</v>
      </c>
      <c r="Z55" s="445">
        <v>55.7</v>
      </c>
      <c r="AA55" s="445">
        <v>71.099999999999994</v>
      </c>
      <c r="AB55" s="240">
        <v>53.751203916510448</v>
      </c>
      <c r="AC55" s="187"/>
      <c r="AG55" s="190"/>
      <c r="AH55" s="190"/>
      <c r="AI55" s="186"/>
      <c r="AJ55" s="186"/>
      <c r="AK55" s="186"/>
      <c r="AL55" s="186"/>
      <c r="AM55" s="186"/>
      <c r="AN55" s="186"/>
      <c r="AO55" s="186"/>
      <c r="AP55" s="186"/>
      <c r="AQ55" s="186"/>
      <c r="AR55" s="186"/>
      <c r="AS55" s="186"/>
      <c r="AT55" s="186"/>
      <c r="AU55" s="186"/>
      <c r="AV55" s="186"/>
      <c r="AW55" s="186"/>
      <c r="AX55" s="186"/>
    </row>
    <row r="56" spans="1:50">
      <c r="A56" s="215">
        <f t="shared" si="1"/>
        <v>2033</v>
      </c>
      <c r="B56" s="227">
        <f t="shared" si="7"/>
        <v>19.5</v>
      </c>
      <c r="C56" s="227">
        <f t="shared" si="8"/>
        <v>17.940000000000001</v>
      </c>
      <c r="D56" s="227">
        <f t="shared" si="9"/>
        <v>90.7</v>
      </c>
      <c r="E56" s="227">
        <f t="shared" si="14"/>
        <v>128.9</v>
      </c>
      <c r="F56" s="227">
        <f t="shared" si="10"/>
        <v>70.8</v>
      </c>
      <c r="G56" s="232">
        <f t="shared" si="16"/>
        <v>24.888888888888886</v>
      </c>
      <c r="H56" s="227">
        <f t="shared" si="11"/>
        <v>47.9</v>
      </c>
      <c r="I56" s="227">
        <f t="shared" si="12"/>
        <v>71.2</v>
      </c>
      <c r="J56" s="232">
        <v>0.1</v>
      </c>
      <c r="K56" s="227">
        <v>0</v>
      </c>
      <c r="L56" s="227">
        <f t="shared" si="13"/>
        <v>54.401751563426117</v>
      </c>
      <c r="M56" s="233">
        <v>5.72</v>
      </c>
      <c r="O56" s="238">
        <f t="shared" si="6"/>
        <v>0.80374862183020956</v>
      </c>
      <c r="Q56" s="221">
        <v>2033</v>
      </c>
      <c r="R56" s="222">
        <v>1.377</v>
      </c>
      <c r="S56" s="241">
        <f>R56/R55-1</f>
        <v>1.924500370096216E-2</v>
      </c>
      <c r="T56" s="448">
        <v>107.6</v>
      </c>
      <c r="U56" s="445">
        <v>19.5</v>
      </c>
      <c r="V56" s="445">
        <v>90.7</v>
      </c>
      <c r="W56" s="445">
        <v>128.9</v>
      </c>
      <c r="X56" s="445">
        <v>70.8</v>
      </c>
      <c r="Y56" s="445">
        <v>47.9</v>
      </c>
      <c r="Z56" s="445">
        <v>56</v>
      </c>
      <c r="AA56" s="445">
        <v>71.2</v>
      </c>
      <c r="AB56" s="240">
        <v>54.401751563426117</v>
      </c>
      <c r="AC56" s="187"/>
      <c r="AG56" s="190"/>
      <c r="AH56" s="190"/>
      <c r="AI56" s="186"/>
      <c r="AJ56" s="186"/>
      <c r="AK56" s="186"/>
      <c r="AL56" s="186"/>
      <c r="AM56" s="186"/>
      <c r="AN56" s="186"/>
      <c r="AO56" s="186"/>
      <c r="AP56" s="186"/>
      <c r="AQ56" s="186"/>
      <c r="AR56" s="186"/>
      <c r="AS56" s="186"/>
      <c r="AT56" s="186"/>
      <c r="AU56" s="186"/>
      <c r="AV56" s="186"/>
      <c r="AW56" s="186"/>
      <c r="AX56" s="186"/>
    </row>
    <row r="57" spans="1:50">
      <c r="A57" s="215">
        <f t="shared" si="1"/>
        <v>2034</v>
      </c>
      <c r="B57" s="227">
        <f t="shared" si="7"/>
        <v>19.600000000000001</v>
      </c>
      <c r="C57" s="227">
        <f t="shared" si="8"/>
        <v>18.032000000000004</v>
      </c>
      <c r="D57" s="227">
        <f t="shared" si="9"/>
        <v>92.1</v>
      </c>
      <c r="E57" s="227">
        <f t="shared" si="14"/>
        <v>130.30000000000001</v>
      </c>
      <c r="F57" s="227">
        <f t="shared" si="10"/>
        <v>72.400000000000006</v>
      </c>
      <c r="G57" s="232">
        <f t="shared" si="16"/>
        <v>24.888888888888886</v>
      </c>
      <c r="H57" s="227">
        <f t="shared" si="11"/>
        <v>48.1</v>
      </c>
      <c r="I57" s="227">
        <f t="shared" si="12"/>
        <v>71.400000000000006</v>
      </c>
      <c r="J57" s="232">
        <v>0.1</v>
      </c>
      <c r="K57" s="227">
        <v>0</v>
      </c>
      <c r="L57" s="227">
        <f t="shared" si="13"/>
        <v>55.062019343402532</v>
      </c>
      <c r="M57" s="233">
        <v>5.72</v>
      </c>
      <c r="O57" s="238">
        <f t="shared" si="6"/>
        <v>0.80384615384615388</v>
      </c>
      <c r="Q57" s="221">
        <v>2034</v>
      </c>
      <c r="R57" s="222">
        <v>1.4039999999999999</v>
      </c>
      <c r="S57" s="241">
        <f>R57/R56-1</f>
        <v>1.9607843137254832E-2</v>
      </c>
      <c r="T57" s="448">
        <v>108.9</v>
      </c>
      <c r="U57" s="445">
        <v>19.600000000000001</v>
      </c>
      <c r="V57" s="445">
        <v>92.1</v>
      </c>
      <c r="W57" s="445">
        <v>130.30000000000001</v>
      </c>
      <c r="X57" s="445">
        <v>72.400000000000006</v>
      </c>
      <c r="Y57" s="445">
        <v>48.1</v>
      </c>
      <c r="Z57" s="445">
        <v>56.2</v>
      </c>
      <c r="AA57" s="445">
        <v>71.400000000000006</v>
      </c>
      <c r="AB57" s="240">
        <v>55.062019343402532</v>
      </c>
      <c r="AC57" s="187"/>
      <c r="AG57" s="190"/>
      <c r="AH57" s="190"/>
      <c r="AI57" s="186"/>
      <c r="AJ57" s="186"/>
      <c r="AK57" s="186"/>
      <c r="AL57" s="186"/>
      <c r="AM57" s="186"/>
      <c r="AN57" s="186"/>
      <c r="AO57" s="186"/>
      <c r="AP57" s="186"/>
      <c r="AQ57" s="186"/>
      <c r="AR57" s="186"/>
      <c r="AS57" s="186"/>
      <c r="AT57" s="186"/>
      <c r="AU57" s="186"/>
      <c r="AV57" s="186"/>
      <c r="AW57" s="186"/>
      <c r="AX57" s="186"/>
    </row>
    <row r="58" spans="1:50">
      <c r="A58" s="242">
        <f t="shared" si="1"/>
        <v>2035</v>
      </c>
      <c r="B58" s="243">
        <f t="shared" si="7"/>
        <v>19.7</v>
      </c>
      <c r="C58" s="243">
        <f t="shared" si="8"/>
        <v>18.123999999999999</v>
      </c>
      <c r="D58" s="243">
        <f t="shared" si="9"/>
        <v>93.5</v>
      </c>
      <c r="E58" s="243">
        <f t="shared" si="14"/>
        <v>131.69999999999999</v>
      </c>
      <c r="F58" s="243">
        <f t="shared" si="10"/>
        <v>74</v>
      </c>
      <c r="G58" s="244">
        <f t="shared" si="16"/>
        <v>24.888888888888886</v>
      </c>
      <c r="H58" s="243">
        <f t="shared" si="11"/>
        <v>48.3</v>
      </c>
      <c r="I58" s="243">
        <f t="shared" si="12"/>
        <v>71.599999999999994</v>
      </c>
      <c r="J58" s="244">
        <v>0.1</v>
      </c>
      <c r="K58" s="243">
        <v>0</v>
      </c>
      <c r="L58" s="243">
        <f t="shared" si="13"/>
        <v>55.7321530584356</v>
      </c>
      <c r="M58" s="245">
        <v>5.72</v>
      </c>
      <c r="O58" s="246">
        <f t="shared" si="6"/>
        <v>0.80394304490690027</v>
      </c>
      <c r="Q58" s="247">
        <v>2035</v>
      </c>
      <c r="R58" s="248">
        <v>1.4319999999999999</v>
      </c>
      <c r="S58" s="249">
        <f>R58/R57-1</f>
        <v>1.9943019943019946E-2</v>
      </c>
      <c r="T58" s="449">
        <v>110.2</v>
      </c>
      <c r="U58" s="446">
        <v>19.7</v>
      </c>
      <c r="V58" s="446">
        <v>93.5</v>
      </c>
      <c r="W58" s="446">
        <v>131.69999999999999</v>
      </c>
      <c r="X58" s="446">
        <v>74</v>
      </c>
      <c r="Y58" s="446">
        <v>48.3</v>
      </c>
      <c r="Z58" s="446">
        <v>56.4</v>
      </c>
      <c r="AA58" s="446">
        <v>71.599999999999994</v>
      </c>
      <c r="AB58" s="250">
        <v>55.7321530584356</v>
      </c>
      <c r="AC58" s="187"/>
      <c r="AG58" s="190"/>
      <c r="AH58" s="190"/>
      <c r="AI58" s="186"/>
      <c r="AJ58" s="186"/>
      <c r="AK58" s="186"/>
      <c r="AL58" s="186"/>
      <c r="AM58" s="186"/>
      <c r="AN58" s="186"/>
      <c r="AO58" s="186"/>
      <c r="AP58" s="186"/>
      <c r="AQ58" s="186"/>
      <c r="AR58" s="186"/>
      <c r="AS58" s="186"/>
      <c r="AT58" s="186"/>
      <c r="AU58" s="186"/>
      <c r="AV58" s="186"/>
      <c r="AW58" s="186"/>
      <c r="AX58" s="186"/>
    </row>
    <row r="59" spans="1:50">
      <c r="A59" s="456">
        <f t="shared" si="1"/>
        <v>2036</v>
      </c>
      <c r="B59" s="442">
        <f t="shared" ref="B59:B63" si="17">U59*$B$7</f>
        <v>19.8</v>
      </c>
      <c r="C59" s="442">
        <f t="shared" ref="C59:C63" si="18">0.92*B59*$C$7</f>
        <v>18.216000000000001</v>
      </c>
      <c r="D59" s="442">
        <f t="shared" ref="D59:D63" si="19">V59*$D$7</f>
        <v>94.7</v>
      </c>
      <c r="E59" s="442">
        <f t="shared" ref="E59:E63" si="20">W59*$E$7</f>
        <v>132.9</v>
      </c>
      <c r="F59" s="442">
        <f t="shared" ref="F59:F63" si="21">X59*$F$7</f>
        <v>75.5</v>
      </c>
      <c r="G59" s="442">
        <f t="shared" si="16"/>
        <v>24.888888888888886</v>
      </c>
      <c r="H59" s="442">
        <f t="shared" ref="H59:H63" si="22">Y59*$H$7</f>
        <v>48.5</v>
      </c>
      <c r="I59" s="442">
        <f t="shared" ref="I59:I63" si="23">AA59*$I$7</f>
        <v>71.7</v>
      </c>
      <c r="J59" s="442">
        <v>0.1</v>
      </c>
      <c r="K59" s="442">
        <v>0</v>
      </c>
      <c r="L59" s="442">
        <f t="shared" si="13"/>
        <v>55.7321530584356</v>
      </c>
      <c r="M59" s="442">
        <v>6.72</v>
      </c>
      <c r="N59" s="457"/>
      <c r="O59" s="458">
        <f t="shared" si="6"/>
        <v>0.8040983606557377</v>
      </c>
      <c r="P59" s="444"/>
      <c r="Q59" s="459">
        <v>2035</v>
      </c>
      <c r="R59" s="460">
        <v>1.46</v>
      </c>
      <c r="S59" s="461">
        <f>R59/R58-1</f>
        <v>1.9553072625698276E-2</v>
      </c>
      <c r="T59" s="445">
        <v>111.4</v>
      </c>
      <c r="U59" s="445">
        <v>19.8</v>
      </c>
      <c r="V59" s="445">
        <v>94.7</v>
      </c>
      <c r="W59" s="445">
        <v>132.9</v>
      </c>
      <c r="X59" s="445">
        <v>75.5</v>
      </c>
      <c r="Y59" s="445">
        <v>48.5</v>
      </c>
      <c r="Z59" s="445">
        <v>56.7</v>
      </c>
      <c r="AA59" s="445">
        <v>71.7</v>
      </c>
      <c r="AB59" s="445">
        <v>55.7321530584356</v>
      </c>
      <c r="AC59" s="187"/>
      <c r="AG59" s="190"/>
      <c r="AH59" s="190"/>
      <c r="AI59" s="186"/>
      <c r="AJ59" s="186"/>
      <c r="AK59" s="186"/>
      <c r="AL59" s="186"/>
      <c r="AM59" s="186"/>
      <c r="AN59" s="186"/>
      <c r="AO59" s="186"/>
      <c r="AP59" s="186"/>
      <c r="AQ59" s="186"/>
      <c r="AR59" s="186"/>
      <c r="AS59" s="186"/>
      <c r="AT59" s="186"/>
      <c r="AU59" s="186"/>
      <c r="AV59" s="186"/>
      <c r="AW59" s="186"/>
      <c r="AX59" s="186"/>
    </row>
    <row r="60" spans="1:50">
      <c r="A60" s="456">
        <f t="shared" si="1"/>
        <v>2037</v>
      </c>
      <c r="B60" s="442">
        <f t="shared" si="17"/>
        <v>19.8</v>
      </c>
      <c r="C60" s="442">
        <f t="shared" si="18"/>
        <v>18.216000000000001</v>
      </c>
      <c r="D60" s="442">
        <f t="shared" si="19"/>
        <v>95.9</v>
      </c>
      <c r="E60" s="442">
        <f t="shared" si="20"/>
        <v>134.1</v>
      </c>
      <c r="F60" s="442">
        <f t="shared" si="21"/>
        <v>76.3</v>
      </c>
      <c r="G60" s="442">
        <f t="shared" si="16"/>
        <v>24.888888888888886</v>
      </c>
      <c r="H60" s="442">
        <f t="shared" si="22"/>
        <v>48.7</v>
      </c>
      <c r="I60" s="442">
        <f t="shared" si="23"/>
        <v>71.900000000000006</v>
      </c>
      <c r="J60" s="442">
        <v>0.1</v>
      </c>
      <c r="K60" s="442">
        <v>0</v>
      </c>
      <c r="L60" s="442">
        <f t="shared" si="13"/>
        <v>55.7321530584356</v>
      </c>
      <c r="M60" s="442">
        <v>7.72</v>
      </c>
      <c r="N60" s="457"/>
      <c r="O60" s="458">
        <f t="shared" si="6"/>
        <v>0.80398037077426399</v>
      </c>
      <c r="P60" s="444"/>
      <c r="Q60" s="459">
        <v>2036</v>
      </c>
      <c r="R60" s="460">
        <v>1.488</v>
      </c>
      <c r="S60" s="461">
        <f t="shared" ref="S60:S63" si="24">R60/R59-1</f>
        <v>1.9178082191780854E-2</v>
      </c>
      <c r="T60" s="445">
        <v>112.5</v>
      </c>
      <c r="U60" s="445">
        <v>19.8</v>
      </c>
      <c r="V60" s="445">
        <v>95.9</v>
      </c>
      <c r="W60" s="445">
        <v>134.1</v>
      </c>
      <c r="X60" s="445">
        <v>76.3</v>
      </c>
      <c r="Y60" s="445">
        <v>48.7</v>
      </c>
      <c r="Z60" s="445">
        <v>56.9</v>
      </c>
      <c r="AA60" s="445">
        <v>71.900000000000006</v>
      </c>
      <c r="AB60" s="445">
        <v>55.7321530584356</v>
      </c>
      <c r="AC60" s="187"/>
      <c r="AG60" s="190"/>
      <c r="AH60" s="190"/>
      <c r="AI60" s="186"/>
      <c r="AJ60" s="186"/>
      <c r="AK60" s="186"/>
      <c r="AL60" s="186"/>
      <c r="AM60" s="186"/>
      <c r="AN60" s="186"/>
      <c r="AO60" s="186"/>
      <c r="AP60" s="186"/>
      <c r="AQ60" s="186"/>
      <c r="AR60" s="186"/>
      <c r="AS60" s="186"/>
      <c r="AT60" s="186"/>
      <c r="AU60" s="186"/>
      <c r="AV60" s="186"/>
      <c r="AW60" s="186"/>
      <c r="AX60" s="186"/>
    </row>
    <row r="61" spans="1:50">
      <c r="A61" s="456">
        <f t="shared" si="1"/>
        <v>2038</v>
      </c>
      <c r="B61" s="442">
        <f t="shared" si="17"/>
        <v>19.899999999999999</v>
      </c>
      <c r="C61" s="442">
        <f t="shared" si="18"/>
        <v>18.308</v>
      </c>
      <c r="D61" s="442">
        <f t="shared" si="19"/>
        <v>97</v>
      </c>
      <c r="E61" s="442">
        <f t="shared" si="20"/>
        <v>135.19999999999999</v>
      </c>
      <c r="F61" s="442">
        <f t="shared" si="21"/>
        <v>77.099999999999994</v>
      </c>
      <c r="G61" s="442">
        <f t="shared" si="16"/>
        <v>24.888888888888886</v>
      </c>
      <c r="H61" s="442">
        <f t="shared" si="22"/>
        <v>48.9</v>
      </c>
      <c r="I61" s="442">
        <f t="shared" si="23"/>
        <v>72.099999999999994</v>
      </c>
      <c r="J61" s="442">
        <v>0.1</v>
      </c>
      <c r="K61" s="442">
        <v>0</v>
      </c>
      <c r="L61" s="442">
        <f t="shared" si="13"/>
        <v>55.7321530584356</v>
      </c>
      <c r="M61" s="442">
        <v>8.7200000000000006</v>
      </c>
      <c r="N61" s="457"/>
      <c r="O61" s="458">
        <f t="shared" si="6"/>
        <v>0.80407608695652166</v>
      </c>
      <c r="P61" s="444"/>
      <c r="Q61" s="459">
        <v>2037</v>
      </c>
      <c r="R61" s="460">
        <v>1.5169999999999999</v>
      </c>
      <c r="S61" s="461">
        <f t="shared" si="24"/>
        <v>1.9489247311827995E-2</v>
      </c>
      <c r="T61" s="445">
        <v>113.5</v>
      </c>
      <c r="U61" s="445">
        <v>19.899999999999999</v>
      </c>
      <c r="V61" s="445">
        <v>97</v>
      </c>
      <c r="W61" s="445">
        <v>135.19999999999999</v>
      </c>
      <c r="X61" s="445">
        <v>77.099999999999994</v>
      </c>
      <c r="Y61" s="445">
        <v>48.9</v>
      </c>
      <c r="Z61" s="445">
        <v>57.2</v>
      </c>
      <c r="AA61" s="445">
        <v>72.099999999999994</v>
      </c>
      <c r="AB61" s="445">
        <v>55.7321530584356</v>
      </c>
      <c r="AC61" s="187"/>
      <c r="AG61" s="190"/>
      <c r="AH61" s="190"/>
      <c r="AI61" s="186"/>
      <c r="AJ61" s="186"/>
      <c r="AK61" s="186"/>
      <c r="AL61" s="186"/>
      <c r="AM61" s="186"/>
      <c r="AN61" s="186"/>
      <c r="AO61" s="186"/>
      <c r="AP61" s="186"/>
      <c r="AQ61" s="186"/>
      <c r="AR61" s="186"/>
      <c r="AS61" s="186"/>
      <c r="AT61" s="186"/>
      <c r="AU61" s="186"/>
      <c r="AV61" s="186"/>
      <c r="AW61" s="186"/>
      <c r="AX61" s="186"/>
    </row>
    <row r="62" spans="1:50">
      <c r="A62" s="456">
        <f t="shared" si="1"/>
        <v>2039</v>
      </c>
      <c r="B62" s="442">
        <f t="shared" si="17"/>
        <v>20</v>
      </c>
      <c r="C62" s="442">
        <f t="shared" si="18"/>
        <v>18.400000000000002</v>
      </c>
      <c r="D62" s="442">
        <f t="shared" si="19"/>
        <v>98</v>
      </c>
      <c r="E62" s="442">
        <f t="shared" si="20"/>
        <v>136.19999999999999</v>
      </c>
      <c r="F62" s="442">
        <f t="shared" si="21"/>
        <v>77.8</v>
      </c>
      <c r="G62" s="442">
        <f t="shared" si="16"/>
        <v>24.888888888888886</v>
      </c>
      <c r="H62" s="442">
        <f t="shared" si="22"/>
        <v>49.2</v>
      </c>
      <c r="I62" s="442">
        <f t="shared" si="23"/>
        <v>72.2</v>
      </c>
      <c r="J62" s="442">
        <v>0.1</v>
      </c>
      <c r="K62" s="442">
        <v>0</v>
      </c>
      <c r="L62" s="442">
        <f t="shared" si="13"/>
        <v>55.7321530584356</v>
      </c>
      <c r="M62" s="442">
        <v>9.7200000000000006</v>
      </c>
      <c r="N62" s="457"/>
      <c r="O62" s="458">
        <f t="shared" si="6"/>
        <v>0.80422993492407813</v>
      </c>
      <c r="P62" s="444"/>
      <c r="Q62" s="459">
        <v>2038</v>
      </c>
      <c r="R62" s="460">
        <v>1.546</v>
      </c>
      <c r="S62" s="461">
        <f t="shared" si="24"/>
        <v>1.9116677653263192E-2</v>
      </c>
      <c r="T62" s="445">
        <v>114.4</v>
      </c>
      <c r="U62" s="445">
        <v>20</v>
      </c>
      <c r="V62" s="445">
        <v>98</v>
      </c>
      <c r="W62" s="445">
        <v>136.19999999999999</v>
      </c>
      <c r="X62" s="445">
        <v>77.8</v>
      </c>
      <c r="Y62" s="445">
        <v>49.2</v>
      </c>
      <c r="Z62" s="445">
        <v>57.4</v>
      </c>
      <c r="AA62" s="445">
        <v>72.2</v>
      </c>
      <c r="AB62" s="445">
        <v>55.7321530584356</v>
      </c>
      <c r="AC62" s="187"/>
      <c r="AG62" s="190"/>
      <c r="AH62" s="190"/>
      <c r="AI62" s="186"/>
      <c r="AJ62" s="186"/>
      <c r="AK62" s="186"/>
      <c r="AL62" s="186"/>
      <c r="AM62" s="186"/>
      <c r="AN62" s="186"/>
      <c r="AO62" s="186"/>
      <c r="AP62" s="186"/>
      <c r="AQ62" s="186"/>
      <c r="AR62" s="186"/>
      <c r="AS62" s="186"/>
      <c r="AT62" s="186"/>
      <c r="AU62" s="186"/>
      <c r="AV62" s="186"/>
      <c r="AW62" s="186"/>
      <c r="AX62" s="186"/>
    </row>
    <row r="63" spans="1:50">
      <c r="A63" s="456">
        <f t="shared" si="1"/>
        <v>2040</v>
      </c>
      <c r="B63" s="442">
        <f t="shared" si="17"/>
        <v>20</v>
      </c>
      <c r="C63" s="442">
        <f t="shared" si="18"/>
        <v>18.400000000000002</v>
      </c>
      <c r="D63" s="442">
        <f t="shared" si="19"/>
        <v>98.9</v>
      </c>
      <c r="E63" s="442">
        <f t="shared" si="20"/>
        <v>137.1</v>
      </c>
      <c r="F63" s="442">
        <f t="shared" si="21"/>
        <v>78.400000000000006</v>
      </c>
      <c r="G63" s="442">
        <f t="shared" si="16"/>
        <v>24.888888888888886</v>
      </c>
      <c r="H63" s="442">
        <f t="shared" si="22"/>
        <v>49.4</v>
      </c>
      <c r="I63" s="442">
        <f t="shared" si="23"/>
        <v>72.400000000000006</v>
      </c>
      <c r="J63" s="442">
        <v>0.1</v>
      </c>
      <c r="K63" s="442">
        <v>0</v>
      </c>
      <c r="L63" s="442">
        <f t="shared" si="13"/>
        <v>55.7321530584356</v>
      </c>
      <c r="M63" s="442">
        <v>10.72</v>
      </c>
      <c r="N63" s="457"/>
      <c r="O63" s="458">
        <f t="shared" si="6"/>
        <v>0.80411255411255422</v>
      </c>
      <c r="P63" s="444"/>
      <c r="Q63" s="459">
        <v>2039</v>
      </c>
      <c r="R63" s="460">
        <v>1.5760000000000001</v>
      </c>
      <c r="S63" s="461">
        <f t="shared" si="24"/>
        <v>1.9404915912031084E-2</v>
      </c>
      <c r="T63" s="445">
        <v>115.3</v>
      </c>
      <c r="U63" s="445">
        <v>20</v>
      </c>
      <c r="V63" s="445">
        <v>98.9</v>
      </c>
      <c r="W63" s="445">
        <v>137.1</v>
      </c>
      <c r="X63" s="445">
        <v>78.400000000000006</v>
      </c>
      <c r="Y63" s="445">
        <v>49.4</v>
      </c>
      <c r="Z63" s="445">
        <v>57.7</v>
      </c>
      <c r="AA63" s="445">
        <v>72.400000000000006</v>
      </c>
      <c r="AB63" s="445">
        <v>55.7321530584356</v>
      </c>
      <c r="AC63" s="187"/>
      <c r="AG63" s="190"/>
      <c r="AH63" s="190"/>
      <c r="AI63" s="186"/>
      <c r="AJ63" s="186"/>
      <c r="AK63" s="186"/>
      <c r="AL63" s="186"/>
      <c r="AM63" s="186"/>
      <c r="AN63" s="186"/>
      <c r="AO63" s="186"/>
      <c r="AP63" s="186"/>
      <c r="AQ63" s="186"/>
      <c r="AR63" s="186"/>
      <c r="AS63" s="186"/>
      <c r="AT63" s="186"/>
      <c r="AU63" s="186"/>
      <c r="AV63" s="186"/>
      <c r="AW63" s="186"/>
      <c r="AX63" s="186"/>
    </row>
    <row r="64" spans="1:50">
      <c r="A64" s="450"/>
      <c r="B64" s="227"/>
      <c r="C64" s="227"/>
      <c r="D64" s="227"/>
      <c r="E64" s="227"/>
      <c r="F64" s="227"/>
      <c r="G64" s="232"/>
      <c r="H64" s="227"/>
      <c r="I64" s="227"/>
      <c r="J64" s="232"/>
      <c r="K64" s="227"/>
      <c r="L64" s="227"/>
      <c r="M64" s="232"/>
      <c r="O64" s="451"/>
      <c r="Q64" s="452"/>
      <c r="R64" s="453"/>
      <c r="S64" s="454"/>
      <c r="T64" s="239"/>
      <c r="U64" s="239"/>
      <c r="V64" s="239"/>
      <c r="W64" s="239"/>
      <c r="X64" s="239"/>
      <c r="Y64" s="239"/>
      <c r="Z64" s="239"/>
      <c r="AA64" s="239"/>
      <c r="AB64" s="239"/>
      <c r="AC64" s="187"/>
      <c r="AG64" s="190"/>
      <c r="AH64" s="190"/>
      <c r="AI64" s="186"/>
      <c r="AJ64" s="186"/>
      <c r="AK64" s="186"/>
      <c r="AL64" s="186"/>
      <c r="AM64" s="186"/>
      <c r="AN64" s="186"/>
      <c r="AO64" s="186"/>
      <c r="AP64" s="186"/>
      <c r="AQ64" s="186"/>
      <c r="AR64" s="186"/>
      <c r="AS64" s="186"/>
      <c r="AT64" s="186"/>
      <c r="AU64" s="186"/>
      <c r="AV64" s="186"/>
      <c r="AW64" s="186"/>
      <c r="AX64" s="186"/>
    </row>
    <row r="65" spans="1:50">
      <c r="A65" s="450"/>
      <c r="B65" s="227"/>
      <c r="C65" s="227"/>
      <c r="D65" s="227"/>
      <c r="E65" s="227"/>
      <c r="F65" s="227"/>
      <c r="G65" s="232"/>
      <c r="H65" s="227"/>
      <c r="I65" s="227"/>
      <c r="J65" s="232"/>
      <c r="K65" s="227"/>
      <c r="L65" s="227"/>
      <c r="M65" s="232"/>
      <c r="O65" s="451"/>
      <c r="Q65" s="452"/>
      <c r="R65" s="453"/>
      <c r="S65" s="454"/>
      <c r="T65" s="239"/>
      <c r="U65" s="239"/>
      <c r="V65" s="239"/>
      <c r="W65" s="239"/>
      <c r="X65" s="239"/>
      <c r="Y65" s="239"/>
      <c r="Z65" s="239"/>
      <c r="AA65" s="239"/>
      <c r="AB65" s="239"/>
      <c r="AC65" s="187"/>
      <c r="AG65" s="190"/>
      <c r="AH65" s="190"/>
      <c r="AI65" s="186"/>
      <c r="AJ65" s="186"/>
      <c r="AK65" s="186"/>
      <c r="AL65" s="186"/>
      <c r="AM65" s="186"/>
      <c r="AN65" s="186"/>
      <c r="AO65" s="186"/>
      <c r="AP65" s="186"/>
      <c r="AQ65" s="186"/>
      <c r="AR65" s="186"/>
      <c r="AS65" s="186"/>
      <c r="AT65" s="186"/>
      <c r="AU65" s="186"/>
      <c r="AV65" s="186"/>
      <c r="AW65" s="186"/>
      <c r="AX65" s="186"/>
    </row>
    <row r="66" spans="1:50">
      <c r="A66" s="251"/>
      <c r="B66" s="193"/>
      <c r="C66" s="193"/>
      <c r="D66" s="193"/>
      <c r="E66" s="193"/>
      <c r="F66" s="193"/>
      <c r="G66" s="193"/>
      <c r="H66" s="193"/>
      <c r="I66" s="193"/>
      <c r="J66" s="193"/>
      <c r="K66" s="193"/>
      <c r="L66" s="193"/>
      <c r="N66" s="252"/>
      <c r="O66" s="205"/>
      <c r="P66" s="193"/>
      <c r="Q66" s="251"/>
      <c r="T66" s="205"/>
      <c r="U66" s="205"/>
      <c r="AG66" s="190"/>
      <c r="AH66" s="190"/>
      <c r="AI66" s="186"/>
      <c r="AJ66" s="186"/>
      <c r="AK66" s="186"/>
      <c r="AL66" s="186"/>
      <c r="AM66" s="186"/>
      <c r="AN66" s="186"/>
      <c r="AO66" s="186"/>
      <c r="AP66" s="186"/>
      <c r="AQ66" s="186"/>
      <c r="AR66" s="186"/>
      <c r="AS66" s="186"/>
      <c r="AT66" s="186"/>
      <c r="AU66" s="186"/>
      <c r="AV66" s="186"/>
      <c r="AW66" s="186"/>
      <c r="AX66" s="186"/>
    </row>
    <row r="67" spans="1:50">
      <c r="P67" s="187"/>
      <c r="Q67" s="444" t="s">
        <v>570</v>
      </c>
      <c r="R67" s="447"/>
      <c r="S67" s="447"/>
      <c r="T67" s="447"/>
      <c r="U67" s="447"/>
      <c r="V67" s="447"/>
      <c r="W67" s="447"/>
      <c r="X67" s="205"/>
      <c r="Y67" s="205"/>
      <c r="Z67" s="205"/>
      <c r="AA67" s="205"/>
      <c r="AB67" s="205"/>
      <c r="AG67" s="190"/>
      <c r="AH67" s="190"/>
      <c r="AI67" s="186"/>
      <c r="AJ67" s="186"/>
      <c r="AK67" s="186"/>
      <c r="AL67" s="186"/>
      <c r="AM67" s="186"/>
      <c r="AN67" s="186"/>
      <c r="AO67" s="186"/>
      <c r="AP67" s="186"/>
      <c r="AQ67" s="186"/>
      <c r="AR67" s="186"/>
      <c r="AS67" s="186"/>
      <c r="AT67" s="186"/>
      <c r="AU67" s="186"/>
      <c r="AV67" s="186"/>
      <c r="AW67" s="186"/>
      <c r="AX67" s="186"/>
    </row>
    <row r="68" spans="1:50">
      <c r="AG68" s="190"/>
      <c r="AH68" s="190"/>
      <c r="AI68" s="186"/>
      <c r="AJ68" s="186"/>
      <c r="AK68" s="186"/>
      <c r="AL68" s="186"/>
      <c r="AM68" s="186"/>
      <c r="AN68" s="186"/>
      <c r="AO68" s="186"/>
      <c r="AP68" s="186"/>
      <c r="AQ68" s="186"/>
      <c r="AR68" s="186"/>
      <c r="AS68" s="186"/>
      <c r="AT68" s="186"/>
      <c r="AU68" s="186"/>
      <c r="AV68" s="186"/>
      <c r="AW68" s="186"/>
      <c r="AX68" s="186"/>
    </row>
    <row r="69" spans="1:50">
      <c r="X69" s="205"/>
      <c r="Y69" s="205"/>
      <c r="Z69" s="205"/>
      <c r="AA69" s="205"/>
      <c r="AB69" s="205"/>
      <c r="AG69" s="190"/>
      <c r="AH69" s="190"/>
      <c r="AI69" s="186"/>
      <c r="AJ69" s="186"/>
      <c r="AK69" s="186"/>
      <c r="AL69" s="186"/>
      <c r="AM69" s="186"/>
      <c r="AN69" s="186"/>
      <c r="AO69" s="186"/>
      <c r="AP69" s="186"/>
      <c r="AQ69" s="186"/>
      <c r="AR69" s="186"/>
      <c r="AS69" s="186"/>
      <c r="AT69" s="186"/>
      <c r="AU69" s="186"/>
      <c r="AV69" s="186"/>
      <c r="AW69" s="186"/>
      <c r="AX69" s="186"/>
    </row>
    <row r="70" spans="1:50">
      <c r="X70" s="205"/>
      <c r="Y70" s="205"/>
      <c r="Z70" s="205"/>
      <c r="AA70" s="205"/>
      <c r="AB70" s="205"/>
      <c r="AG70" s="190"/>
      <c r="AH70" s="190"/>
      <c r="AI70" s="186"/>
      <c r="AJ70" s="186"/>
      <c r="AK70" s="186"/>
      <c r="AL70" s="186"/>
      <c r="AM70" s="186"/>
      <c r="AN70" s="186"/>
      <c r="AO70" s="186"/>
      <c r="AP70" s="186"/>
      <c r="AQ70" s="186"/>
      <c r="AR70" s="186"/>
      <c r="AS70" s="186"/>
      <c r="AT70" s="186"/>
      <c r="AU70" s="186"/>
      <c r="AV70" s="186"/>
      <c r="AW70" s="186"/>
      <c r="AX70" s="186"/>
    </row>
    <row r="71" spans="1:50">
      <c r="X71" s="205"/>
      <c r="Y71" s="205"/>
      <c r="Z71" s="205"/>
      <c r="AA71" s="205"/>
      <c r="AB71" s="205"/>
      <c r="AI71" s="186"/>
      <c r="AJ71" s="186"/>
      <c r="AK71" s="186"/>
      <c r="AL71" s="186"/>
      <c r="AM71" s="186"/>
      <c r="AN71" s="186"/>
      <c r="AO71" s="186"/>
      <c r="AP71" s="186"/>
      <c r="AQ71" s="186"/>
      <c r="AR71" s="186"/>
      <c r="AS71" s="186"/>
      <c r="AT71" s="186"/>
      <c r="AU71" s="186"/>
      <c r="AV71" s="186"/>
      <c r="AW71" s="186"/>
      <c r="AX71" s="186"/>
    </row>
    <row r="72" spans="1:50">
      <c r="A72" s="186"/>
      <c r="B72" s="253"/>
      <c r="X72" s="205"/>
      <c r="Y72" s="205"/>
      <c r="Z72" s="205"/>
      <c r="AA72" s="205"/>
      <c r="AB72" s="205"/>
      <c r="AD72" s="186"/>
      <c r="AE72" s="186"/>
      <c r="AF72" s="186"/>
      <c r="AG72" s="186"/>
      <c r="AH72" s="186"/>
      <c r="AI72" s="186"/>
      <c r="AJ72" s="186"/>
      <c r="AK72" s="186"/>
      <c r="AL72" s="186"/>
      <c r="AM72" s="186"/>
      <c r="AN72" s="186"/>
      <c r="AO72" s="186"/>
      <c r="AP72" s="186"/>
      <c r="AQ72" s="186"/>
      <c r="AR72" s="186"/>
      <c r="AS72" s="186"/>
      <c r="AT72" s="186"/>
      <c r="AU72" s="186"/>
      <c r="AV72" s="186"/>
      <c r="AW72" s="186"/>
      <c r="AX72" s="186"/>
    </row>
    <row r="73" spans="1:50">
      <c r="A73" s="186"/>
      <c r="B73" s="253"/>
      <c r="X73" s="205"/>
      <c r="Y73" s="205"/>
      <c r="Z73" s="205"/>
      <c r="AA73" s="205"/>
      <c r="AB73" s="205"/>
      <c r="AD73" s="186"/>
      <c r="AE73" s="186"/>
      <c r="AF73" s="186"/>
      <c r="AG73" s="186"/>
      <c r="AH73" s="186"/>
      <c r="AI73" s="186"/>
      <c r="AJ73" s="186"/>
      <c r="AK73" s="186"/>
      <c r="AL73" s="186"/>
      <c r="AM73" s="186"/>
      <c r="AN73" s="186"/>
      <c r="AO73" s="186"/>
      <c r="AP73" s="186"/>
      <c r="AQ73" s="186"/>
      <c r="AR73" s="186"/>
      <c r="AS73" s="186"/>
      <c r="AT73" s="186"/>
      <c r="AU73" s="186"/>
      <c r="AV73" s="186"/>
      <c r="AW73" s="186"/>
      <c r="AX73" s="186"/>
    </row>
    <row r="74" spans="1:50">
      <c r="A74" s="186"/>
      <c r="B74" s="253"/>
      <c r="X74" s="205"/>
      <c r="Y74" s="205"/>
      <c r="Z74" s="205"/>
      <c r="AA74" s="205"/>
      <c r="AB74" s="205"/>
      <c r="AD74" s="186"/>
      <c r="AE74" s="186"/>
      <c r="AF74" s="186"/>
      <c r="AG74" s="186"/>
      <c r="AH74" s="186"/>
      <c r="AI74" s="186"/>
      <c r="AJ74" s="186"/>
      <c r="AK74" s="186"/>
      <c r="AL74" s="186"/>
      <c r="AM74" s="186"/>
      <c r="AN74" s="186"/>
      <c r="AO74" s="186"/>
      <c r="AP74" s="186"/>
      <c r="AQ74" s="186"/>
      <c r="AR74" s="186"/>
      <c r="AS74" s="186"/>
      <c r="AT74" s="186"/>
      <c r="AU74" s="186"/>
      <c r="AV74" s="186"/>
      <c r="AW74" s="186"/>
      <c r="AX74" s="186"/>
    </row>
    <row r="75" spans="1:50">
      <c r="A75" s="186"/>
      <c r="B75" s="253"/>
      <c r="X75" s="205"/>
      <c r="Y75" s="205"/>
      <c r="Z75" s="205"/>
      <c r="AA75" s="205"/>
      <c r="AB75" s="205"/>
      <c r="AD75" s="186"/>
      <c r="AE75" s="186"/>
      <c r="AF75" s="186"/>
      <c r="AG75" s="186"/>
      <c r="AH75" s="186"/>
      <c r="AI75" s="186"/>
      <c r="AJ75" s="186"/>
      <c r="AK75" s="186"/>
      <c r="AL75" s="186"/>
      <c r="AM75" s="186"/>
      <c r="AN75" s="186"/>
      <c r="AO75" s="186"/>
      <c r="AP75" s="186"/>
      <c r="AQ75" s="186"/>
      <c r="AR75" s="186"/>
      <c r="AS75" s="186"/>
      <c r="AT75" s="186"/>
      <c r="AU75" s="186"/>
      <c r="AV75" s="186"/>
      <c r="AW75" s="186"/>
      <c r="AX75" s="186"/>
    </row>
    <row r="76" spans="1:50">
      <c r="A76" s="186"/>
      <c r="B76" s="253"/>
      <c r="X76" s="205"/>
      <c r="Y76" s="205"/>
      <c r="Z76" s="205"/>
      <c r="AA76" s="205"/>
      <c r="AB76" s="205"/>
      <c r="AD76" s="186"/>
      <c r="AE76" s="186"/>
      <c r="AF76" s="186"/>
      <c r="AG76" s="186"/>
      <c r="AH76" s="186"/>
      <c r="AI76" s="186"/>
      <c r="AJ76" s="186"/>
      <c r="AK76" s="186"/>
      <c r="AL76" s="186"/>
      <c r="AM76" s="186"/>
      <c r="AN76" s="186"/>
      <c r="AO76" s="186"/>
      <c r="AP76" s="186"/>
      <c r="AQ76" s="186"/>
      <c r="AR76" s="186"/>
      <c r="AS76" s="186"/>
      <c r="AT76" s="186"/>
      <c r="AU76" s="186"/>
      <c r="AV76" s="186"/>
      <c r="AW76" s="186"/>
      <c r="AX76" s="186"/>
    </row>
    <row r="77" spans="1:50">
      <c r="A77" s="186"/>
      <c r="B77" s="253"/>
      <c r="X77" s="205"/>
      <c r="Y77" s="205"/>
      <c r="Z77" s="205"/>
      <c r="AA77" s="205"/>
      <c r="AB77" s="205"/>
      <c r="AD77" s="186"/>
      <c r="AE77" s="186"/>
      <c r="AF77" s="186"/>
      <c r="AG77" s="186"/>
      <c r="AH77" s="186"/>
      <c r="AI77" s="186"/>
      <c r="AJ77" s="186"/>
      <c r="AK77" s="186"/>
      <c r="AL77" s="186"/>
      <c r="AM77" s="186"/>
      <c r="AN77" s="186"/>
      <c r="AO77" s="186"/>
      <c r="AP77" s="186"/>
      <c r="AQ77" s="186"/>
      <c r="AR77" s="186"/>
      <c r="AS77" s="186"/>
      <c r="AT77" s="186"/>
      <c r="AU77" s="186"/>
      <c r="AV77" s="186"/>
      <c r="AW77" s="186"/>
      <c r="AX77" s="186"/>
    </row>
    <row r="78" spans="1:50">
      <c r="A78" s="186"/>
      <c r="B78" s="253"/>
      <c r="X78" s="205"/>
      <c r="Y78" s="205"/>
      <c r="Z78" s="205"/>
      <c r="AA78" s="205"/>
      <c r="AB78" s="205"/>
      <c r="AD78" s="186"/>
      <c r="AE78" s="186"/>
      <c r="AF78" s="186"/>
      <c r="AG78" s="186"/>
      <c r="AH78" s="186"/>
      <c r="AI78" s="186"/>
      <c r="AJ78" s="186"/>
      <c r="AK78" s="186"/>
      <c r="AL78" s="186"/>
      <c r="AM78" s="186"/>
      <c r="AN78" s="186"/>
      <c r="AO78" s="186"/>
      <c r="AP78" s="186"/>
      <c r="AQ78" s="186"/>
      <c r="AR78" s="186"/>
      <c r="AS78" s="186"/>
      <c r="AT78" s="186"/>
      <c r="AU78" s="186"/>
      <c r="AV78" s="186"/>
      <c r="AW78" s="186"/>
      <c r="AX78" s="186"/>
    </row>
    <row r="79" spans="1:50">
      <c r="A79" s="186"/>
      <c r="B79" s="253"/>
      <c r="X79" s="205"/>
      <c r="Y79" s="205"/>
      <c r="Z79" s="205"/>
      <c r="AA79" s="205"/>
      <c r="AB79" s="205"/>
      <c r="AD79" s="186"/>
      <c r="AE79" s="186"/>
      <c r="AF79" s="186"/>
      <c r="AG79" s="186"/>
      <c r="AH79" s="186"/>
      <c r="AI79" s="186"/>
      <c r="AJ79" s="186"/>
      <c r="AK79" s="186"/>
      <c r="AL79" s="186"/>
      <c r="AM79" s="186"/>
      <c r="AN79" s="186"/>
      <c r="AO79" s="186"/>
      <c r="AP79" s="186"/>
      <c r="AQ79" s="186"/>
      <c r="AR79" s="186"/>
      <c r="AS79" s="186"/>
      <c r="AT79" s="186"/>
      <c r="AU79" s="186"/>
      <c r="AV79" s="186"/>
      <c r="AW79" s="186"/>
      <c r="AX79" s="186"/>
    </row>
    <row r="80" spans="1:50">
      <c r="A80" s="186"/>
      <c r="B80" s="253"/>
      <c r="X80" s="205"/>
      <c r="Y80" s="205"/>
      <c r="Z80" s="205"/>
      <c r="AA80" s="205"/>
      <c r="AB80" s="205"/>
      <c r="AD80" s="186"/>
      <c r="AE80" s="186"/>
      <c r="AF80" s="186"/>
      <c r="AG80" s="186"/>
      <c r="AH80" s="186"/>
      <c r="AI80" s="186"/>
      <c r="AJ80" s="186"/>
      <c r="AK80" s="186"/>
      <c r="AL80" s="186"/>
      <c r="AM80" s="186"/>
      <c r="AN80" s="186"/>
      <c r="AO80" s="186"/>
      <c r="AP80" s="186"/>
      <c r="AQ80" s="186"/>
      <c r="AR80" s="186"/>
      <c r="AS80" s="186"/>
      <c r="AT80" s="186"/>
      <c r="AU80" s="186"/>
      <c r="AV80" s="186"/>
      <c r="AW80" s="186"/>
      <c r="AX80" s="186"/>
    </row>
    <row r="81" spans="2:28" s="186" customFormat="1">
      <c r="B81" s="253"/>
      <c r="N81" s="187"/>
      <c r="O81" s="188"/>
      <c r="Q81" s="189"/>
      <c r="R81" s="188"/>
      <c r="S81" s="188"/>
      <c r="T81" s="188"/>
      <c r="U81" s="188"/>
      <c r="V81" s="188"/>
      <c r="W81" s="188"/>
      <c r="X81" s="205"/>
      <c r="Y81" s="205"/>
      <c r="Z81" s="205"/>
      <c r="AA81" s="205"/>
      <c r="AB81" s="205"/>
    </row>
    <row r="82" spans="2:28" s="186" customFormat="1">
      <c r="B82" s="253"/>
      <c r="N82" s="187"/>
      <c r="O82" s="188"/>
      <c r="Q82" s="189"/>
      <c r="R82" s="188"/>
      <c r="S82" s="188"/>
      <c r="T82" s="188"/>
      <c r="U82" s="188"/>
      <c r="V82" s="188"/>
      <c r="W82" s="188"/>
      <c r="X82" s="205"/>
      <c r="Y82" s="205"/>
      <c r="Z82" s="205"/>
      <c r="AA82" s="205"/>
      <c r="AB82" s="205"/>
    </row>
    <row r="83" spans="2:28" s="186" customFormat="1">
      <c r="B83" s="253"/>
      <c r="N83" s="187"/>
      <c r="O83" s="188"/>
      <c r="Q83" s="189"/>
      <c r="R83" s="188"/>
      <c r="S83" s="188"/>
      <c r="T83" s="188"/>
      <c r="U83" s="188"/>
      <c r="V83" s="188"/>
      <c r="W83" s="188"/>
      <c r="X83" s="205"/>
      <c r="Y83" s="205"/>
      <c r="Z83" s="205"/>
      <c r="AA83" s="205"/>
      <c r="AB83" s="205"/>
    </row>
    <row r="84" spans="2:28" s="186" customFormat="1">
      <c r="B84" s="253"/>
      <c r="N84" s="187"/>
      <c r="O84" s="188"/>
      <c r="Q84" s="189"/>
      <c r="R84" s="188"/>
      <c r="S84" s="188"/>
      <c r="T84" s="188"/>
      <c r="U84" s="188"/>
      <c r="V84" s="188"/>
      <c r="W84" s="188"/>
      <c r="X84" s="205"/>
      <c r="Y84" s="205"/>
      <c r="Z84" s="205"/>
      <c r="AA84" s="205"/>
      <c r="AB84" s="205"/>
    </row>
    <row r="85" spans="2:28" s="186" customFormat="1">
      <c r="B85" s="253"/>
      <c r="N85" s="187"/>
      <c r="O85" s="188"/>
      <c r="Q85" s="189"/>
      <c r="R85" s="188"/>
      <c r="S85" s="188"/>
      <c r="T85" s="188"/>
      <c r="U85" s="188"/>
      <c r="V85" s="188"/>
      <c r="W85" s="188"/>
      <c r="X85" s="205"/>
      <c r="Y85" s="205"/>
      <c r="Z85" s="205"/>
      <c r="AA85" s="205"/>
      <c r="AB85" s="205"/>
    </row>
    <row r="86" spans="2:28" s="186" customFormat="1">
      <c r="B86" s="253"/>
      <c r="N86" s="187"/>
      <c r="O86" s="188"/>
      <c r="Q86" s="189"/>
      <c r="R86" s="188"/>
      <c r="S86" s="188"/>
      <c r="T86" s="188"/>
      <c r="U86" s="188"/>
      <c r="V86" s="188"/>
      <c r="W86" s="188"/>
      <c r="X86" s="205"/>
      <c r="Y86" s="205"/>
      <c r="Z86" s="205"/>
      <c r="AA86" s="205"/>
      <c r="AB86" s="205"/>
    </row>
    <row r="87" spans="2:28" s="186" customFormat="1">
      <c r="B87" s="253"/>
      <c r="N87" s="187"/>
      <c r="O87" s="188"/>
      <c r="Q87" s="189"/>
      <c r="R87" s="188"/>
      <c r="S87" s="188"/>
      <c r="T87" s="188"/>
      <c r="U87" s="188"/>
      <c r="V87" s="188"/>
      <c r="W87" s="188"/>
      <c r="X87" s="205"/>
      <c r="Y87" s="205"/>
      <c r="Z87" s="205"/>
      <c r="AA87" s="205"/>
      <c r="AB87" s="205"/>
    </row>
    <row r="88" spans="2:28" s="186" customFormat="1">
      <c r="B88" s="253"/>
      <c r="N88" s="187"/>
      <c r="O88" s="188"/>
      <c r="Q88" s="189"/>
      <c r="R88" s="188"/>
      <c r="S88" s="188"/>
      <c r="T88" s="188"/>
      <c r="U88" s="188"/>
      <c r="V88" s="188"/>
      <c r="W88" s="188"/>
      <c r="X88" s="205"/>
      <c r="Y88" s="205"/>
      <c r="Z88" s="205"/>
      <c r="AA88" s="205"/>
      <c r="AB88" s="205"/>
    </row>
    <row r="89" spans="2:28" s="186" customFormat="1">
      <c r="B89" s="253"/>
      <c r="N89" s="187"/>
      <c r="O89" s="188"/>
      <c r="Q89" s="189"/>
      <c r="R89" s="188"/>
      <c r="S89" s="188"/>
      <c r="T89" s="188"/>
      <c r="U89" s="188"/>
      <c r="V89" s="188"/>
      <c r="W89" s="188"/>
      <c r="X89" s="205"/>
      <c r="Y89" s="205"/>
      <c r="Z89" s="205"/>
      <c r="AA89" s="205"/>
      <c r="AB89" s="205"/>
    </row>
    <row r="115" spans="2:28" s="186" customFormat="1">
      <c r="B115" s="254"/>
      <c r="M115" s="193"/>
      <c r="N115" s="252"/>
      <c r="O115" s="205"/>
      <c r="P115" s="193"/>
      <c r="Q115" s="251"/>
      <c r="R115" s="205"/>
      <c r="S115" s="205"/>
      <c r="T115" s="205"/>
      <c r="U115" s="205"/>
      <c r="V115" s="205"/>
      <c r="W115" s="205"/>
      <c r="X115" s="205"/>
      <c r="Y115" s="205"/>
      <c r="Z115" s="205"/>
      <c r="AA115" s="205"/>
      <c r="AB115" s="205"/>
    </row>
  </sheetData>
  <mergeCells count="12">
    <mergeCell ref="U9:U10"/>
    <mergeCell ref="O9:O10"/>
    <mergeCell ref="R9:R10"/>
    <mergeCell ref="S9:S10"/>
    <mergeCell ref="T9:T10"/>
    <mergeCell ref="AB9:AB10"/>
    <mergeCell ref="V9:V10"/>
    <mergeCell ref="W9:W10"/>
    <mergeCell ref="X9:X10"/>
    <mergeCell ref="Y9:Y10"/>
    <mergeCell ref="Z9:Z10"/>
    <mergeCell ref="AA9:AA10"/>
  </mergeCells>
  <pageMargins left="0.4" right="0.4" top="0.33300000000000002" bottom="0.33300000000000002" header="0.5" footer="0.5"/>
  <pageSetup paperSize="9" scale="80" orientation="landscape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6</vt:i4>
      </vt:variant>
    </vt:vector>
  </HeadingPairs>
  <TitlesOfParts>
    <vt:vector size="20" baseType="lpstr">
      <vt:lpstr>LOG</vt:lpstr>
      <vt:lpstr>Intro</vt:lpstr>
      <vt:lpstr>ELC_Comm</vt:lpstr>
      <vt:lpstr>ELC_Processes_CEN</vt:lpstr>
      <vt:lpstr>ELC_Processes_DEC</vt:lpstr>
      <vt:lpstr>ELC_Industry</vt:lpstr>
      <vt:lpstr>ELC_house</vt:lpstr>
      <vt:lpstr>ELC_CEN</vt:lpstr>
      <vt:lpstr>ELC_DEC</vt:lpstr>
      <vt:lpstr>ELC_CEN-Peak</vt:lpstr>
      <vt:lpstr>ELC_DEC-Peak</vt:lpstr>
      <vt:lpstr>Naming convention</vt:lpstr>
      <vt:lpstr>Deleted Technologies</vt:lpstr>
      <vt:lpstr>FuelPriceRAMSES</vt:lpstr>
      <vt:lpstr>ELC_house!Euro</vt:lpstr>
      <vt:lpstr>ELC_Industry!Euro</vt:lpstr>
      <vt:lpstr>Euro</vt:lpstr>
      <vt:lpstr>FuelPrices</vt:lpstr>
      <vt:lpstr>Prisår_Til_Ramses</vt:lpstr>
      <vt:lpstr>FuelPriceRAMSES!result</vt:lpstr>
    </vt:vector>
  </TitlesOfParts>
  <Company>Energistyrelsen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Kristoffer Steen Andersen</dc:creator>
  <cp:lastModifiedBy>Mikkel Bosack</cp:lastModifiedBy>
  <cp:lastPrinted>2016-04-06T08:02:55Z</cp:lastPrinted>
  <dcterms:created xsi:type="dcterms:W3CDTF">2013-04-04T12:59:05Z</dcterms:created>
  <dcterms:modified xsi:type="dcterms:W3CDTF">2021-03-05T09:51:56Z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557628810405731</vt:r8>
  </property>
</Properties>
</file>